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STG017SR\7ª Publica\Leonel\Processo Talita\Planilha orcamentaria\"/>
    </mc:Choice>
  </mc:AlternateContent>
  <xr:revisionPtr revIDLastSave="0" documentId="13_ncr:1_{26E49D1B-144D-4910-B46D-B02DAE2236F2}" xr6:coauthVersionLast="47" xr6:coauthVersionMax="47" xr10:uidLastSave="{00000000-0000-0000-0000-000000000000}"/>
  <bookViews>
    <workbookView xWindow="28680" yWindow="-120" windowWidth="29040" windowHeight="15840" tabRatio="500" firstSheet="1" activeTab="1" xr2:uid="{00000000-000D-0000-FFFF-FFFF00000000}"/>
  </bookViews>
  <sheets>
    <sheet name="Planilha Resumo" sheetId="1" r:id="rId1"/>
    <sheet name="Resumo dos Serviços" sheetId="2" r:id="rId2"/>
    <sheet name="Detalhamento Santa Rosa do PI" sheetId="3" r:id="rId3"/>
    <sheet name="Detalhamento Colonia  Gurgueia" sheetId="4" r:id="rId4"/>
    <sheet name="Mobilização de Equipe" sheetId="5" r:id="rId5"/>
    <sheet name="Coordenação" sheetId="6" r:id="rId6"/>
    <sheet name="Emissão de ART" sheetId="7" r:id="rId7"/>
    <sheet name="Tentativa de Pescaria" sheetId="8" r:id="rId8"/>
    <sheet name="Retirada de Bomba Submersa" sheetId="9" r:id="rId9"/>
    <sheet name="Teste Prod. e Bomb." sheetId="10" r:id="rId10"/>
    <sheet name="Lacrar Poço" sheetId="11" r:id="rId11"/>
    <sheet name="Proteção Sanitária" sheetId="12" r:id="rId12"/>
    <sheet name="Aumento de Revestimento" sheetId="13" r:id="rId13"/>
    <sheet name="Analise de Água" sheetId="14" r:id="rId14"/>
    <sheet name="Limp. Sanitária 01" sheetId="15" r:id="rId15"/>
    <sheet name="Limp. Sanitária 02" sheetId="16" r:id="rId16"/>
    <sheet name="BDI" sheetId="17" r:id="rId17"/>
    <sheet name="Encargos Sociais" sheetId="18" r:id="rId18"/>
  </sheets>
  <externalReferences>
    <externalReference r:id="rId19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" i="3" l="1"/>
  <c r="G5" i="3"/>
  <c r="F14" i="4"/>
  <c r="E42" i="15"/>
  <c r="H39" i="15"/>
  <c r="H37" i="15"/>
  <c r="H36" i="15"/>
  <c r="F39" i="3"/>
  <c r="G47" i="18"/>
  <c r="F47" i="18"/>
  <c r="G42" i="18"/>
  <c r="F42" i="18"/>
  <c r="G34" i="18"/>
  <c r="F34" i="18"/>
  <c r="G21" i="18"/>
  <c r="G49" i="18" s="1"/>
  <c r="F21" i="18"/>
  <c r="F49" i="18" s="1"/>
  <c r="C33" i="17"/>
  <c r="H31" i="17"/>
  <c r="C25" i="17"/>
  <c r="C40" i="17" s="1"/>
  <c r="C21" i="17"/>
  <c r="I9" i="16"/>
  <c r="I10" i="16" s="1"/>
  <c r="D9" i="16"/>
  <c r="H8" i="16"/>
  <c r="G7" i="16"/>
  <c r="G6" i="16"/>
  <c r="G5" i="16"/>
  <c r="G3" i="16"/>
  <c r="E31" i="15"/>
  <c r="J30" i="15"/>
  <c r="J31" i="15" s="1"/>
  <c r="J32" i="15" s="1"/>
  <c r="I30" i="15"/>
  <c r="I31" i="15" s="1"/>
  <c r="G29" i="15"/>
  <c r="H29" i="15" s="1"/>
  <c r="H28" i="15"/>
  <c r="G27" i="15"/>
  <c r="H27" i="15" s="1"/>
  <c r="H25" i="15"/>
  <c r="E21" i="15"/>
  <c r="J20" i="15"/>
  <c r="I20" i="15"/>
  <c r="I21" i="15" s="1"/>
  <c r="G19" i="15"/>
  <c r="H19" i="15" s="1"/>
  <c r="H18" i="15"/>
  <c r="G17" i="15"/>
  <c r="H17" i="15" s="1"/>
  <c r="H15" i="15"/>
  <c r="J10" i="15"/>
  <c r="J9" i="15"/>
  <c r="E9" i="15"/>
  <c r="I8" i="15"/>
  <c r="H7" i="15"/>
  <c r="H6" i="15"/>
  <c r="P5" i="15"/>
  <c r="H5" i="15"/>
  <c r="P3" i="15"/>
  <c r="H3" i="15"/>
  <c r="H6" i="14"/>
  <c r="H5" i="14"/>
  <c r="H7" i="14" s="1"/>
  <c r="H8" i="13"/>
  <c r="H7" i="13"/>
  <c r="H6" i="13"/>
  <c r="H5" i="13"/>
  <c r="H9" i="13" s="1"/>
  <c r="H5" i="12"/>
  <c r="H6" i="12" s="1"/>
  <c r="H65" i="11"/>
  <c r="H54" i="11"/>
  <c r="H43" i="11"/>
  <c r="G42" i="11"/>
  <c r="H42" i="11" s="1"/>
  <c r="G41" i="11"/>
  <c r="H41" i="11" s="1"/>
  <c r="G40" i="11"/>
  <c r="H40" i="11" s="1"/>
  <c r="G39" i="11"/>
  <c r="H39" i="11" s="1"/>
  <c r="H32" i="11"/>
  <c r="G31" i="11"/>
  <c r="G64" i="11" s="1"/>
  <c r="H64" i="11" s="1"/>
  <c r="G30" i="11"/>
  <c r="H30" i="11" s="1"/>
  <c r="G29" i="11"/>
  <c r="G62" i="11" s="1"/>
  <c r="H62" i="11" s="1"/>
  <c r="G28" i="11"/>
  <c r="H28" i="11" s="1"/>
  <c r="H21" i="11"/>
  <c r="G20" i="11"/>
  <c r="G53" i="11" s="1"/>
  <c r="H53" i="11" s="1"/>
  <c r="G19" i="11"/>
  <c r="H19" i="11" s="1"/>
  <c r="H18" i="11"/>
  <c r="G18" i="11"/>
  <c r="G51" i="11" s="1"/>
  <c r="H51" i="11" s="1"/>
  <c r="G17" i="11"/>
  <c r="H17" i="11" s="1"/>
  <c r="H9" i="11"/>
  <c r="H8" i="11"/>
  <c r="H7" i="11"/>
  <c r="H6" i="11"/>
  <c r="H5" i="11"/>
  <c r="H10" i="11" s="1"/>
  <c r="E29" i="10"/>
  <c r="H26" i="10"/>
  <c r="H25" i="10"/>
  <c r="H28" i="10" s="1"/>
  <c r="E20" i="10"/>
  <c r="H18" i="10"/>
  <c r="H17" i="10"/>
  <c r="H16" i="10"/>
  <c r="H19" i="10" s="1"/>
  <c r="H14" i="10"/>
  <c r="H13" i="10"/>
  <c r="E8" i="10"/>
  <c r="H6" i="10"/>
  <c r="H5" i="10"/>
  <c r="H7" i="10" s="1"/>
  <c r="E14" i="9"/>
  <c r="H12" i="9"/>
  <c r="H11" i="9"/>
  <c r="H10" i="9"/>
  <c r="H9" i="9"/>
  <c r="H8" i="9"/>
  <c r="H13" i="9" s="1"/>
  <c r="H7" i="9"/>
  <c r="H6" i="9"/>
  <c r="H5" i="9"/>
  <c r="E11" i="8"/>
  <c r="H9" i="8"/>
  <c r="H8" i="8"/>
  <c r="H7" i="8"/>
  <c r="H6" i="8"/>
  <c r="H10" i="8" s="1"/>
  <c r="H4" i="7"/>
  <c r="H7" i="7" s="1"/>
  <c r="H5" i="6"/>
  <c r="H6" i="6" s="1"/>
  <c r="D17" i="5"/>
  <c r="G15" i="5"/>
  <c r="G14" i="5"/>
  <c r="G13" i="5"/>
  <c r="G12" i="5"/>
  <c r="G11" i="5"/>
  <c r="G10" i="5"/>
  <c r="G9" i="5"/>
  <c r="G8" i="5"/>
  <c r="G7" i="5"/>
  <c r="G6" i="5"/>
  <c r="G5" i="5"/>
  <c r="G16" i="5" s="1"/>
  <c r="P7" i="15" l="1"/>
  <c r="P8" i="15" s="1"/>
  <c r="G26" i="15" s="1"/>
  <c r="H26" i="15" s="1"/>
  <c r="G38" i="15"/>
  <c r="H38" i="15" s="1"/>
  <c r="G40" i="15"/>
  <c r="H40" i="15" s="1"/>
  <c r="I22" i="15"/>
  <c r="I9" i="15"/>
  <c r="I10" i="15" s="1"/>
  <c r="I11" i="15" s="1"/>
  <c r="H29" i="11"/>
  <c r="H44" i="11"/>
  <c r="F56" i="3"/>
  <c r="G56" i="3" s="1"/>
  <c r="F43" i="4"/>
  <c r="G43" i="4" s="1"/>
  <c r="H5" i="7"/>
  <c r="H30" i="15"/>
  <c r="H9" i="16"/>
  <c r="H10" i="16" s="1"/>
  <c r="J10" i="16" s="1"/>
  <c r="H11" i="11"/>
  <c r="H12" i="11" s="1"/>
  <c r="F17" i="3" s="1"/>
  <c r="G17" i="3" s="1"/>
  <c r="H10" i="13"/>
  <c r="H11" i="13"/>
  <c r="F15" i="3" s="1"/>
  <c r="G15" i="3" s="1"/>
  <c r="H8" i="12"/>
  <c r="F14" i="3" s="1"/>
  <c r="G14" i="3" s="1"/>
  <c r="H7" i="12"/>
  <c r="H45" i="11"/>
  <c r="H46" i="11" s="1"/>
  <c r="G17" i="5"/>
  <c r="G18" i="5" s="1"/>
  <c r="H14" i="9"/>
  <c r="H15" i="9" s="1"/>
  <c r="H8" i="14"/>
  <c r="H9" i="14" s="1"/>
  <c r="H20" i="10"/>
  <c r="H21" i="10" s="1"/>
  <c r="H7" i="6"/>
  <c r="H8" i="6" s="1"/>
  <c r="H12" i="8"/>
  <c r="F12" i="3" s="1"/>
  <c r="G12" i="3" s="1"/>
  <c r="H11" i="8"/>
  <c r="H8" i="10"/>
  <c r="H9" i="10" s="1"/>
  <c r="G39" i="3" s="1"/>
  <c r="H29" i="10"/>
  <c r="H30" i="10" s="1"/>
  <c r="I32" i="15"/>
  <c r="I33" i="15" s="1"/>
  <c r="G50" i="11"/>
  <c r="H50" i="11" s="1"/>
  <c r="G61" i="11"/>
  <c r="H61" i="11" s="1"/>
  <c r="G16" i="15"/>
  <c r="H16" i="15" s="1"/>
  <c r="H20" i="15" s="1"/>
  <c r="J21" i="15"/>
  <c r="J22" i="15" s="1"/>
  <c r="F4" i="16"/>
  <c r="G4" i="16" s="1"/>
  <c r="G8" i="16" s="1"/>
  <c r="G52" i="11"/>
  <c r="H52" i="11" s="1"/>
  <c r="G63" i="11"/>
  <c r="H63" i="11" s="1"/>
  <c r="H20" i="11"/>
  <c r="H22" i="11" s="1"/>
  <c r="H31" i="11"/>
  <c r="H33" i="11" s="1"/>
  <c r="H41" i="15" l="1"/>
  <c r="G4" i="15"/>
  <c r="H4" i="15" s="1"/>
  <c r="H8" i="15" s="1"/>
  <c r="H55" i="11"/>
  <c r="H66" i="11"/>
  <c r="H31" i="15"/>
  <c r="H32" i="15" s="1"/>
  <c r="F32" i="3" s="1"/>
  <c r="G32" i="3" s="1"/>
  <c r="H42" i="15"/>
  <c r="H43" i="15" s="1"/>
  <c r="F41" i="3" s="1"/>
  <c r="G41" i="3" s="1"/>
  <c r="H21" i="15"/>
  <c r="H22" i="15" s="1"/>
  <c r="F23" i="3" s="1"/>
  <c r="G23" i="3" s="1"/>
  <c r="F6" i="4"/>
  <c r="G6" i="4" s="1"/>
  <c r="F48" i="3"/>
  <c r="G48" i="3" s="1"/>
  <c r="F15" i="4"/>
  <c r="G15" i="4" s="1"/>
  <c r="F24" i="4"/>
  <c r="G24" i="4" s="1"/>
  <c r="F16" i="3"/>
  <c r="G16" i="3" s="1"/>
  <c r="F25" i="3"/>
  <c r="G25" i="3" s="1"/>
  <c r="F33" i="3"/>
  <c r="G33" i="3" s="1"/>
  <c r="F34" i="4"/>
  <c r="G34" i="4" s="1"/>
  <c r="F40" i="3"/>
  <c r="G40" i="3" s="1"/>
  <c r="F5" i="3"/>
  <c r="F41" i="4"/>
  <c r="G41" i="4" s="1"/>
  <c r="F54" i="3"/>
  <c r="G54" i="3" s="1"/>
  <c r="C15" i="1" s="1"/>
  <c r="F24" i="3"/>
  <c r="G24" i="3" s="1"/>
  <c r="F47" i="3"/>
  <c r="G47" i="3" s="1"/>
  <c r="F4" i="3"/>
  <c r="G9" i="16"/>
  <c r="G10" i="16" s="1"/>
  <c r="F22" i="4"/>
  <c r="G22" i="4" s="1"/>
  <c r="F7" i="4"/>
  <c r="G7" i="4" s="1"/>
  <c r="H34" i="11"/>
  <c r="H35" i="11" s="1"/>
  <c r="F42" i="4"/>
  <c r="G42" i="4" s="1"/>
  <c r="C26" i="1" s="1"/>
  <c r="F55" i="3"/>
  <c r="G55" i="3" s="1"/>
  <c r="C16" i="1" s="1"/>
  <c r="F5" i="4"/>
  <c r="G5" i="4" s="1"/>
  <c r="F13" i="3"/>
  <c r="G13" i="3" s="1"/>
  <c r="G14" i="4"/>
  <c r="F23" i="4"/>
  <c r="G23" i="4" s="1"/>
  <c r="F31" i="3"/>
  <c r="G31" i="3" s="1"/>
  <c r="F33" i="4"/>
  <c r="G33" i="4" s="1"/>
  <c r="H56" i="11"/>
  <c r="H57" i="11" s="1"/>
  <c r="H67" i="11"/>
  <c r="H68" i="11" s="1"/>
  <c r="H23" i="11"/>
  <c r="H24" i="11" s="1"/>
  <c r="F49" i="3" s="1"/>
  <c r="G49" i="3" s="1"/>
  <c r="H9" i="15"/>
  <c r="H10" i="15" s="1"/>
  <c r="F6" i="3" s="1"/>
  <c r="G6" i="3" s="1"/>
  <c r="G35" i="3" l="1"/>
  <c r="C12" i="1" s="1"/>
  <c r="G19" i="3"/>
  <c r="C10" i="1" s="1"/>
  <c r="G43" i="3"/>
  <c r="C13" i="1" s="1"/>
  <c r="G27" i="3"/>
  <c r="C11" i="1" s="1"/>
  <c r="F26" i="4"/>
  <c r="G26" i="4" s="1"/>
  <c r="F8" i="4"/>
  <c r="G8" i="4" s="1"/>
  <c r="G10" i="4" s="1"/>
  <c r="C21" i="1" s="1"/>
  <c r="F35" i="4"/>
  <c r="G35" i="4" s="1"/>
  <c r="F16" i="4"/>
  <c r="G16" i="4" s="1"/>
  <c r="G18" i="4" s="1"/>
  <c r="C22" i="1" s="1"/>
  <c r="F32" i="4"/>
  <c r="G32" i="4" s="1"/>
  <c r="F25" i="4"/>
  <c r="G25" i="4" s="1"/>
  <c r="G28" i="4" s="1"/>
  <c r="G51" i="3"/>
  <c r="C14" i="1" s="1"/>
  <c r="G8" i="3"/>
  <c r="C25" i="1"/>
  <c r="G58" i="3" l="1"/>
  <c r="C23" i="1"/>
  <c r="C9" i="1"/>
  <c r="C17" i="1" s="1"/>
  <c r="G37" i="4"/>
  <c r="C24" i="1" s="1"/>
  <c r="C27" i="1" s="1"/>
  <c r="C30" i="1" l="1"/>
  <c r="G45" i="4"/>
  <c r="D20" i="2"/>
</calcChain>
</file>

<file path=xl/sharedStrings.xml><?xml version="1.0" encoding="utf-8"?>
<sst xmlns="http://schemas.openxmlformats.org/spreadsheetml/2006/main" count="907" uniqueCount="316">
  <si>
    <t>BDI (%):</t>
  </si>
  <si>
    <t>ENCARGOS SOCIAIS (%):</t>
  </si>
  <si>
    <t>Mês de Referência - SINAPI Junho de 2022, ORSE Maio de 2022, SICRO Janeiro de 2022 e ANP Junho de 2022 (Não Desonerado)</t>
  </si>
  <si>
    <t>DESCRIÇÃO</t>
  </si>
  <si>
    <t>TOTAL (R$)</t>
  </si>
  <si>
    <t>MUNICÍPIO DE SANTA ROSA DO PIAUÍ</t>
  </si>
  <si>
    <t>POÇO 01</t>
  </si>
  <si>
    <t>POÇO 02</t>
  </si>
  <si>
    <t>POÇO 03</t>
  </si>
  <si>
    <t>POÇO 04</t>
  </si>
  <si>
    <t>POÇO 05</t>
  </si>
  <si>
    <t>POÇO 06</t>
  </si>
  <si>
    <t>MOBILIZAÇÃO</t>
  </si>
  <si>
    <t>ACOMPANHAMENTO DE GEÓLOGO, RELATÓRIO E ART</t>
  </si>
  <si>
    <t xml:space="preserve">TOTAL DOS SERVIÇOS EM SANTA ROSA DO PIAUÍ </t>
  </si>
  <si>
    <t>MUNICÍPIO DE COLÔNIA DE GURGUÉIA</t>
  </si>
  <si>
    <t>TOTAL DOS SERVIÇOS EM COLÔNIA DE GURGUÉIA</t>
  </si>
  <si>
    <t>TOTAL GERAL DOS SERVIÇOS</t>
  </si>
  <si>
    <t>RESUMO GERAL DOS SERVIÇOS</t>
  </si>
  <si>
    <t>ITEM</t>
  </si>
  <si>
    <t>UND</t>
  </si>
  <si>
    <t>Tentativa de resgate (Pescaria) de conjunto moto-bomba com perfuratriz em poço tubular profundo.</t>
  </si>
  <si>
    <t>Retirada de bomba submersa, cabos e tubos edutores.</t>
  </si>
  <si>
    <t>H</t>
  </si>
  <si>
    <t>Teste de produção e bombeamento com bomba submersa.</t>
  </si>
  <si>
    <t>Teste de produção e Bombeamento com compressor.</t>
  </si>
  <si>
    <t>Fechamento de poço tubular profundo com tampa soldada.</t>
  </si>
  <si>
    <t>Construção de laje de proteção sanitária em concreto (1,00m x 1,00m x 0,15cm).</t>
  </si>
  <si>
    <t>Aumento de revestimento em 1 metro a partir do selo sanitário.</t>
  </si>
  <si>
    <t>Realização de análise físico-química e bacteriológica de água.</t>
  </si>
  <si>
    <t>Limpeza sanitária.</t>
  </si>
  <si>
    <t>Acompanhamento de geólogo e relatório.</t>
  </si>
  <si>
    <t>ART.</t>
  </si>
  <si>
    <t>Mobilização.</t>
  </si>
  <si>
    <t>KM</t>
  </si>
  <si>
    <t>TOTAL GERAL ESTIMADO</t>
  </si>
  <si>
    <t>POÇO 01 - MUNICÍPIO DE SANTA ROSA DO PIAUÍ</t>
  </si>
  <si>
    <t>UNID.</t>
  </si>
  <si>
    <t>QUANT.</t>
  </si>
  <si>
    <t>P.UNIT.</t>
  </si>
  <si>
    <t>HORA</t>
  </si>
  <si>
    <t>Análise de água</t>
  </si>
  <si>
    <t>Limpeza sanitária do poço CPU-18</t>
  </si>
  <si>
    <t>TOTAL DO POÇO 01</t>
  </si>
  <si>
    <t>POÇO 02 - MUNICÍPIO DE SANTA ROSA DO PIAUÍ</t>
  </si>
  <si>
    <t>Tentativa de pescaria de bomba submersa</t>
  </si>
  <si>
    <t>Teste de vazão do poço com compressor</t>
  </si>
  <si>
    <t>Refazer proteção sanitária</t>
  </si>
  <si>
    <t>Aumentar altura do tubo de revestimento a partir do selo sanitário em 1 metro</t>
  </si>
  <si>
    <t>M</t>
  </si>
  <si>
    <t>TOTAL DO POÇO 02</t>
  </si>
  <si>
    <t>POÇO 03 - MUNICÍPIO DE SANTA ROSA DO PIAUÍ</t>
  </si>
  <si>
    <t>Limpeza sanitária do poço CPU - 19</t>
  </si>
  <si>
    <t>Análise da água</t>
  </si>
  <si>
    <t>TOTAL DO POÇO 03</t>
  </si>
  <si>
    <t>POÇO 04 - MUNICÍPIO DE SANTA ROSA DO PIAUÍ</t>
  </si>
  <si>
    <t>Limpeza sanitária do poço CPU-20</t>
  </si>
  <si>
    <t>TOTAL DO POÇO 04</t>
  </si>
  <si>
    <t>POÇO 05 - MUNICÍPIO DE SANTA ROSA DO PIAUÍ</t>
  </si>
  <si>
    <t>TOTAL DO POÇO 05</t>
  </si>
  <si>
    <t>POÇO 06 - MUNICÍPIO DE SANTA ROSA DO PIAUÍ</t>
  </si>
  <si>
    <t>TOTAL DO POÇO 06</t>
  </si>
  <si>
    <t>Transporte de equipamentos</t>
  </si>
  <si>
    <t>ACOMPANHAMENTO DE GEÓLOGO, RELATÓRIO</t>
  </si>
  <si>
    <t>ART</t>
  </si>
  <si>
    <t>TOTAL DOS SERVIÇOS EM SANTA ROSA DO PIAUÍ</t>
  </si>
  <si>
    <t>POÇO 01 - MUNICÍPIO DE COLÔNIA DE GURGUÉIA</t>
  </si>
  <si>
    <t xml:space="preserve">Teste de vazão com compressor </t>
  </si>
  <si>
    <t>Retirada da unidade de bombeamento de 150 CV (colocada a 90 m)</t>
  </si>
  <si>
    <t>POÇO 02 - MUNICÍPIO DE COLÔNIA DE GURGUÉIA</t>
  </si>
  <si>
    <t>POÇO 03 - MUNICÍPIO DE COLÔNIA DE GURGUÉIA</t>
  </si>
  <si>
    <t>POÇO 04 - MUNICÍPIO DE COLÔNIA DE GURGUÉIA</t>
  </si>
  <si>
    <t xml:space="preserve">Transporte dos equipamentos </t>
  </si>
  <si>
    <t xml:space="preserve">ACOMPANHAMENTO DE GEÓLOGO E RELATÓRIO </t>
  </si>
  <si>
    <t>CPU-01</t>
  </si>
  <si>
    <t>CODEVASF</t>
  </si>
  <si>
    <t>TRANSPORTE DE MÃO DE OBRA, MATERIAIS E EQUIPAMENTOS A SEREM UTILIZADOS NA OBRA.</t>
  </si>
  <si>
    <t>QUANTITATIVO</t>
  </si>
  <si>
    <t>PRECO UNITÁRIO</t>
  </si>
  <si>
    <t>COMPOSICAO</t>
  </si>
  <si>
    <t>MOTORISTA DE CAMINHÃO COM ENCARGOS COMPLEMENTARES</t>
  </si>
  <si>
    <t>SERVENTE COM ENCARGOS COMPLEMENTARES</t>
  </si>
  <si>
    <t>INSUMO</t>
  </si>
  <si>
    <t>ANP</t>
  </si>
  <si>
    <t>OLEO DIESEL COMBUSTIVEL COMUM</t>
  </si>
  <si>
    <t>L</t>
  </si>
  <si>
    <t>OLEO LUBRIFICANTE PARA MOTORES DE EQUIPAMENTOS PESADOS (CAMINHOES, TRATORES, RETROS E ETC)</t>
  </si>
  <si>
    <t>13618/ORSE</t>
  </si>
  <si>
    <t xml:space="preserve">	Transportes de máquinas e equipamentos por caminhão munck</t>
  </si>
  <si>
    <t>GRAXA LUBRIFICANTE</t>
  </si>
  <si>
    <t>Kg</t>
  </si>
  <si>
    <t>LOCACAO DE PERFURATRIZ PNEUMATICA DE PESO MEDIO, * 18 * KG, PARA ROCHA</t>
  </si>
  <si>
    <t>CHP</t>
  </si>
  <si>
    <t>Sub total:</t>
  </si>
  <si>
    <t>PREÇO UNITÁRIO TOTAL:</t>
  </si>
  <si>
    <t>CPU-02</t>
  </si>
  <si>
    <t>CONTRATAÇÃO DE PROFISSIONAL PARA PRESTAÇÃO DE SERVIÇO TÉCNICO ESPECIALIZADO</t>
  </si>
  <si>
    <t>COMPOSIÇÃO</t>
  </si>
  <si>
    <t>P9836</t>
  </si>
  <si>
    <t>Engenheiro/Geólogo</t>
  </si>
  <si>
    <t>BDI (23,75%):</t>
  </si>
  <si>
    <t>CPU-03</t>
  </si>
  <si>
    <t>EMISSÃO DE ART/CREA</t>
  </si>
  <si>
    <t>CPU-04</t>
  </si>
  <si>
    <t>TENTATIVA DE RESGATE (PESCARIA) DE CONJUNTO MOTO-BOMBA COM PERFURATRIZ  EM POÇO TUBULAR PROFUNDO</t>
  </si>
  <si>
    <t>CAVOUQUEIRO OU OPERADOR PERFURATRIZ/ROMPEDOR COM ENCARGOS COMPLEMENTARES</t>
  </si>
  <si>
    <t>PERFURATRIZ PNEUMATICA MANUAL DE PESO MEDIO, MARTELETE, 18KGM COMPRIMENTO MÁXIMO DE CURSO 6M, DIAMETRO DO PISTÃO DE 5,5 CM</t>
  </si>
  <si>
    <t>CPU-05</t>
  </si>
  <si>
    <t>RETIRADA DE BOMBA SUBMERSA COM PERFURATRIZ (INCLUSIVE EQUIPE DE OPERAÇÃO E ACESSÓRIOS)</t>
  </si>
  <si>
    <t>CPU-06</t>
  </si>
  <si>
    <t>TESTE DE PRODUÇÃO E BOMBEAMENTO COM BOMBA SUBMERSA E GRUPO GERADOR</t>
  </si>
  <si>
    <t>13008/ORSE</t>
  </si>
  <si>
    <t>BOMBEAMENTO COM BOMBA SUBMERSA</t>
  </si>
  <si>
    <t>LOCAÇÃO DE GRUPO GERADOR DE 260KVA, DIESEL REBOCAVEL, ACIONAMENTO MANUAL</t>
  </si>
  <si>
    <t>CPU-07</t>
  </si>
  <si>
    <t>TESTE DE PRODUÇÃO E BOMBEAMENTO COM COMPRESSOR EM POÇO TUBULAR PROFUNDO ACIMA DE 200 M DE PROFUNDIDADE</t>
  </si>
  <si>
    <t>COMPRESSOR DE AR REBOCÁVEL, VAZÃO 748 PCM, PRESSÃO EFETIVA DE TRABALHO 102 PSI, MOTOR DIESEL, POTÊNCIA 210 CV - MATERIAIS NA OPERAÇÃO.AF_06/2015</t>
  </si>
  <si>
    <t>OPERADOR DE COMPRESSOR DE AR OU COMPRESSORISTA</t>
  </si>
  <si>
    <t>CPU-08</t>
  </si>
  <si>
    <t xml:space="preserve">ENCANADOR OU BOMBEIRO HIDRÁULICO COM ENCARGOS COMPLEMENTARES </t>
  </si>
  <si>
    <t>AUXILIAR DE ENCANADOR OU BOMBEIRO HIDRÁULICO COM ENCARGOS COMPLEMENTARES</t>
  </si>
  <si>
    <t>CPU-09</t>
  </si>
  <si>
    <t>FECHAMENTO DE POÇO TUBULAR PROFUNDO COM TAMPA SOLDADA 6"</t>
  </si>
  <si>
    <t>UN</t>
  </si>
  <si>
    <t>SOLDADOR COM ENCARGOS COMPLEMENTARES</t>
  </si>
  <si>
    <t xml:space="preserve">ELETRODO REVESTIDO AWS - E7018, DIAMETRO IGUAL A 4,00 MM </t>
  </si>
  <si>
    <t>KG</t>
  </si>
  <si>
    <t>INVERSOR DE SOLDA MONOFASICO DE 160 A, POTENCIA DE 5400 W, TENSAO DE 220 V TURBO VENTILADO, PROTECAO POR FUSIVEL TERMICO, PARA ELETRODOS DE 2,0 A 4,0 MM</t>
  </si>
  <si>
    <t>TAMPA DE POÇO GALVANIZADA EM 6"</t>
  </si>
  <si>
    <t>UM</t>
  </si>
  <si>
    <t>BDI (23,75) %:</t>
  </si>
  <si>
    <t>CPU-10</t>
  </si>
  <si>
    <t>FECHAMENTO DE POÇO TUBULAR PROFUNDO COM TAMPA SOLDADA 8"</t>
  </si>
  <si>
    <t>TAMPA DE POÇO GALVANIZADA EM 8"</t>
  </si>
  <si>
    <t>CPU-11</t>
  </si>
  <si>
    <t>FECHAMENTO DE POÇO TUBULAR PROFUNDO COM TAMPA SOLDADA 10"</t>
  </si>
  <si>
    <t>TAMPA DE POÇO GALVANIZADA EM 10"</t>
  </si>
  <si>
    <t>CPU-12</t>
  </si>
  <si>
    <t>FECHAMENTO DE POÇO TUBULAR PROFUNDO COM TAMPA SOLDADA 12"</t>
  </si>
  <si>
    <t>TAMPA DE POÇO GALVANIZADA EM 12"</t>
  </si>
  <si>
    <t>CPU-13</t>
  </si>
  <si>
    <t>FECHAMENTO DE POÇO TUBULAR PROFUNDO COM TAMPA SOLDADA 14"</t>
  </si>
  <si>
    <t>CHAPA DE ACO GROSSA, ASTM A36, E = 3/8 " (9,53 MM) 74,69 KG/M2</t>
  </si>
  <si>
    <t>CPU-14</t>
  </si>
  <si>
    <t>FECHAMENTO DE POÇO TUBULAR PROFUNDO COM TAMPA SOLDADA 18"</t>
  </si>
  <si>
    <t>CPU-15</t>
  </si>
  <si>
    <t>CONSTRUÇÃO DE LAJE DE PROTEÇÃO SANITÁRIA EM CONCRETO (1,00 x 1,00 x 0,15)CM.</t>
  </si>
  <si>
    <t>11682/ORSE</t>
  </si>
  <si>
    <t>LAJE DE PROTEÇÃO DO POÇO EM CONCRETO SIMPLES FABRICADO NA OBRA, FCK=21 MPA LANÇADO E ADENSADO</t>
  </si>
  <si>
    <t>M³</t>
  </si>
  <si>
    <t>CPU-16</t>
  </si>
  <si>
    <t>FORNECIMENTO E INSTALAÇÃO DE REVESTIMENTO DO POÇO C/ TUBO DE PVC GEOMECÂNICO STD DN de 6" COM LUVAS E ROSCAS.</t>
  </si>
  <si>
    <t>ENCARREGADO GERAL COM ENCARGOS COMPLEMENTARES</t>
  </si>
  <si>
    <t>Cotação 33</t>
  </si>
  <si>
    <t>TUBO REVESTIMENTO GEOMECÂNICA 6" x 4m STANDARD</t>
  </si>
  <si>
    <t>LUVA DE CORRER DEFOFO, PVC, AZUL, JE DN=150MM</t>
  </si>
  <si>
    <t>CPU-17</t>
  </si>
  <si>
    <t>REALIZAÇÃO DE ANÁLISE FÍSICO-QUÍMICA E BACTERIOLÓGICA DE ÁGUA,INCLUINDO A COLETA, TAXAS E TRANSPORTE.</t>
  </si>
  <si>
    <t>06312/ORSE</t>
  </si>
  <si>
    <t>ANÁLISE FÍSICO QUÍMICA DA ÁGUA</t>
  </si>
  <si>
    <t>06313/ORSE</t>
  </si>
  <si>
    <t>ANÁLISE BACTERIOLÓGICA DA ÁGUA</t>
  </si>
  <si>
    <t>Poço 1 Santa Rosa</t>
  </si>
  <si>
    <t>CPU-18</t>
  </si>
  <si>
    <t>FORNECIMENTO E APLICAÇÃO EM POÇO TUBULAR PROFUNDO DE SOLUÇÃO DE HIPOCLORITO DE CÁLCIO, CONCENTRAÇÃO 65% PARA DESINFECÇÃO POR CIRCULAÇÃO REVERSA COM AR COMPRIMIDO</t>
  </si>
  <si>
    <t>preço + frete</t>
  </si>
  <si>
    <t>link</t>
  </si>
  <si>
    <t>Magalu</t>
  </si>
  <si>
    <t>https://www.magazineluiza.com.br/cloro-de-piscinas-hth-10-em-1-granulado-multi-acao-hipoclorito-balde-10kg/p/hhbb8gee44/cj/clcp/?&amp;seller_id=lojaprapiscinas&amp;utm_source=bing&amp;utm_medium=pla&amp;utm_campaign=&amp;partner_id=65137&amp;gclsrc=aw.ds&amp;msclkid=10bac0914f2313b2b9efa273c889e307</t>
  </si>
  <si>
    <t>COTAÇÃO</t>
  </si>
  <si>
    <t>SOLUÇÃO DE HIPOCLORITO DE CÁLCIO, CONCENTRAÇÃO DE 65%</t>
  </si>
  <si>
    <t>Mercado Livre</t>
  </si>
  <si>
    <t>https://produto.mercadolivre.com.br/MLB-2093359741-hipoclorito-de-calcio-cloro-granulado-65-balde-azul-domclor-_JM?matt_tool=47780295&amp;matt_word=&amp;matt_source=google&amp;matt_campaign_id=14302215540&amp;matt_ad_group_id=134553704548&amp;matt_match_type=&amp;matt_network=g&amp;matt_device=c&amp;matt_creative=539425529179&amp;matt_keyword=&amp;matt_ad_position=&amp;matt_ad_type=pla&amp;matt_merchant_id=523765505&amp;matt_product_id=MLB2093359741&amp;matt_product_partition_id=1404591628519&amp;matt_target_id=aud-1454065851347:pla-1404591628519&amp;gclid=CjwKCAiAvaGRBhBlEiwAiY-yMESbaDhI98r58Yn6MeUy62CZR4EKMCsGvConlGb0_tqVPI-If5zJkBoCp0YQAvD_BwE</t>
  </si>
  <si>
    <t>COMPRESSOR DE AR REBOCÁVEL, VAZÃO 748 PCM, PRESSÃO EFETIVA DE TRABALHO 102 PSI, MOTOR DIESEL, POTÊNCIA 210 CV - CHP DIURNO. AF_06/2015</t>
  </si>
  <si>
    <t>Americanas</t>
  </si>
  <si>
    <t>https://www.americanas.com.br/produto/29200646?epar=bp_pl_00_go_br_pmax_geral&amp;opn=YSMESP&amp;WT.srch=1&amp;gclid=CjwKCAiAvaGRBhBlEiwAiY-yMLAWrKvJWRgllg5iX4X7EoaxynhHsLNYafhCHADnbxK2SfCBvkgRiRoC_BgQAvD_BwE</t>
  </si>
  <si>
    <t>média</t>
  </si>
  <si>
    <t>1kg</t>
  </si>
  <si>
    <t>Poço 3 Santa Rosa</t>
  </si>
  <si>
    <t>CPU-19</t>
  </si>
  <si>
    <t>Poço 4 Santa Rosa</t>
  </si>
  <si>
    <t>CPU-20</t>
  </si>
  <si>
    <t>CPU-21</t>
  </si>
  <si>
    <t>Total</t>
  </si>
  <si>
    <t xml:space="preserve">                                                                                 MINISTÉRIO DO DESENVOLVIMENTO REGIONAL - MDR</t>
  </si>
  <si>
    <t xml:space="preserve">                                              COMPANHIA DE DESENVOLVIMENTO DOS VALES DO SÃO FRANCISCO E DO PARNAÍBA</t>
  </si>
  <si>
    <t xml:space="preserve">                         7ª SUPERINTENDÊNCIA REGIONAL - Teresina/PI.</t>
  </si>
  <si>
    <t>PLANILHA DE DETALHAMENTO DO BDI - SEM DESONERAÇÃO</t>
  </si>
  <si>
    <t>Manutenção e regularização ambiental de poços tubulares, localizadas em municípios diversos do Estado do Piauí, na área de atuação da 7ª SR da Codevasf, em Teresina/PI.</t>
  </si>
  <si>
    <t>ORGÃO EXECUTOR: CODEVASF</t>
  </si>
  <si>
    <t>MEMÓRIA DE CALCULO DO BDI  APLICADO</t>
  </si>
  <si>
    <t>BDI APLICADO NA OBRA</t>
  </si>
  <si>
    <t>FAIXAS DE ADMISSIBILIDADE DE ACORDO COM O ACORDÃO N. 2622/2013 DO TCU</t>
  </si>
  <si>
    <t xml:space="preserve">DISCRIMINAÇÃO </t>
  </si>
  <si>
    <t>PERC. (%)</t>
  </si>
  <si>
    <t>MÍNIMO</t>
  </si>
  <si>
    <t>MÉDIO</t>
  </si>
  <si>
    <t>MÁXIMO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</si>
  <si>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</si>
  <si>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</si>
  <si>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</si>
  <si>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</si>
  <si>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</si>
  <si>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</si>
  <si>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</si>
  <si>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</si>
  <si>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</si>
  <si>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</si>
  <si>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</si>
  <si>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</si>
  <si>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</si>
  <si>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</si>
  <si>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</si>
  <si>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</si>
  <si>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</si>
  <si>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Impostos</t>
  </si>
  <si>
    <t>CÁLCULO DO ISS</t>
  </si>
  <si>
    <t>C-1</t>
  </si>
  <si>
    <t>PIS / PASEP</t>
  </si>
  <si>
    <t>ALÍQUOTA MUNICIPAL (%)</t>
  </si>
  <si>
    <t>% DE MÃO DE OBRA</t>
  </si>
  <si>
    <t>ALÍQUOTA FINAL (%)</t>
  </si>
  <si>
    <t>C-2</t>
  </si>
  <si>
    <t>COFINS</t>
  </si>
  <si>
    <t>C-3</t>
  </si>
  <si>
    <t>ISS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</si>
  <si>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</si>
  <si>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</si>
  <si>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</si>
  <si>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</si>
  <si>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</si>
  <si>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</si>
  <si>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 xml:space="preserve">                                                                                       MINISTÉRIO DO DESENVOLVIMENTO REGIONAL - MDR</t>
  </si>
  <si>
    <t>MINISTÉRIO DO DESENVOLVIMENTO REGIONAL - MDR</t>
  </si>
  <si>
    <t xml:space="preserve">                                         COMPANHIA DE DESENVOLVIMENTO DOS VALES DO SÃO FRANCISCO E DO PARNAÍBA</t>
  </si>
  <si>
    <t xml:space="preserve">                                                                                     7ª SUPERINTENDÊNCIA REGIONAL - TERESINA/PI.</t>
  </si>
  <si>
    <t>DETALHAMENTO DOS ENCARGOS SOCIAIS - SEM DESONERAÇÃO</t>
  </si>
  <si>
    <t>QUADRO:</t>
  </si>
  <si>
    <t>EDITAL:</t>
  </si>
  <si>
    <t>DISCRIMINAÇÃO</t>
  </si>
  <si>
    <t>HORISTA</t>
  </si>
  <si>
    <t>MENSALISTA</t>
  </si>
  <si>
    <t>A</t>
  </si>
  <si>
    <t>GRUPO A</t>
  </si>
  <si>
    <t>%</t>
  </si>
  <si>
    <t>INSS</t>
  </si>
  <si>
    <t>SESI</t>
  </si>
  <si>
    <t>SENAI</t>
  </si>
  <si>
    <t>INCRA</t>
  </si>
  <si>
    <t>A5</t>
  </si>
  <si>
    <t>SEBRAE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</si>
  <si>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</si>
  <si>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</si>
  <si>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</si>
  <si>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</si>
  <si>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</si>
  <si>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</si>
  <si>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</si>
  <si>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SUBTOTAL DE "A"</t>
  </si>
  <si>
    <t>B</t>
  </si>
  <si>
    <t>GRUPO B</t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</si>
  <si>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</si>
  <si>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</si>
  <si>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</si>
  <si>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</si>
  <si>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</si>
  <si>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</si>
  <si>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</si>
  <si>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</si>
  <si>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</si>
  <si>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</si>
  <si>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</si>
  <si>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</si>
  <si>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</si>
  <si>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</si>
  <si>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</si>
  <si>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</si>
  <si>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</si>
  <si>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</si>
  <si>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</si>
  <si>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</si>
  <si>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</si>
  <si>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SUBTOTAL DE  "B"</t>
  </si>
  <si>
    <t>C</t>
  </si>
  <si>
    <t>GRUPO C</t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</si>
  <si>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</si>
  <si>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</si>
  <si>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</si>
  <si>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</si>
  <si>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</si>
  <si>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</si>
  <si>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</si>
  <si>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</si>
  <si>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</si>
  <si>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</si>
  <si>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SUBTOTAL DE "C"</t>
  </si>
  <si>
    <t>D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</si>
  <si>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</si>
  <si>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</si>
  <si>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</si>
  <si>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</si>
  <si>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</si>
  <si>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SUBTOTAL DE "D"</t>
  </si>
  <si>
    <t>TOTAIS DE ENCARGOS SOCIAIS</t>
  </si>
  <si>
    <t>Poço 5 Santa Rosa</t>
  </si>
  <si>
    <t>CPU-22</t>
  </si>
  <si>
    <t>Limpeza sanitária do poço CPU-21</t>
  </si>
  <si>
    <t>Teste de Produção e Bombeamento com Bomba Submersa do Próprio Poço (mão de obra)</t>
  </si>
  <si>
    <t>TESTE DE PRODUÇÃO E BOMBEAMENTO COM BOMBA SUBMERSA DO PRÓPRIO POÇO (MÃO DE OBRA)</t>
  </si>
  <si>
    <t>Limpeza sanitária do poço CPU-22</t>
  </si>
  <si>
    <t>Lacrar poço 6" CPU-09</t>
  </si>
  <si>
    <t>Lacrar poço 8" CPU-10</t>
  </si>
  <si>
    <t>Lacrar poço 18" CPU-14</t>
  </si>
  <si>
    <t>Limpeza sanitária do poço CPU - 22</t>
  </si>
  <si>
    <t>DES</t>
  </si>
  <si>
    <t>ANEXO IV - DBDI-S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</si>
</sst>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&quot;R$ &quot;* #,##0.00_-;&quot;-R$ &quot;* #,##0.00_-;_-&quot;R$ &quot;* \-??_-;_-@_-"/>
    <numFmt numFmtId="165" formatCode="_-* #,##0.00_-;\-* #,##0.00_-;_-* \-??_-;_-@_-"/>
    <numFmt numFmtId="166" formatCode="#,##0.00000"/>
    <numFmt numFmtId="167" formatCode="0.0000"/>
    <numFmt numFmtId="168" formatCode="[$-416]d/m/yyyy"/>
    <numFmt numFmtId="169" formatCode="_(* #,##0.00_);_(* \(#,##0.00\);_(* \-??_);_(@_)"/>
    <numFmt numFmtId="170" formatCode="_(&quot;R$ &quot;* #,##0.00_);_(&quot;R$ &quot;* \(#,##0.00\);_(&quot;R$ &quot;* \-??_);_(@_)"/>
  </numFmts>
  <fonts count="3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1"/>
      <name val="Arial"/>
      <family val="2"/>
      <charset val="1"/>
    </font>
    <font>
      <b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8"/>
      <color rgb="FF000000"/>
      <name val="Courier New"/>
      <family val="3"/>
      <charset val="1"/>
    </font>
    <font>
      <sz val="8"/>
      <color rgb="FF000000"/>
      <name val="Courier New"/>
      <family val="3"/>
      <charset val="1"/>
    </font>
    <font>
      <b/>
      <sz val="8"/>
      <name val="Verdana"/>
      <family val="2"/>
      <charset val="1"/>
    </font>
    <font>
      <b/>
      <sz val="11"/>
      <name val="Verdana"/>
      <family val="2"/>
      <charset val="1"/>
    </font>
    <font>
      <b/>
      <sz val="8"/>
      <color rgb="FF000000"/>
      <name val="Courier New"/>
      <charset val="1"/>
    </font>
    <font>
      <sz val="8"/>
      <name val="Courier New"/>
      <family val="3"/>
      <charset val="1"/>
    </font>
    <font>
      <sz val="8"/>
      <color rgb="FF000000"/>
      <name val="Courier New"/>
      <charset val="1"/>
    </font>
    <font>
      <sz val="11"/>
      <color rgb="FFFFFFFF"/>
      <name val="Calibri"/>
      <family val="2"/>
      <charset val="1"/>
    </font>
    <font>
      <u/>
      <sz val="11"/>
      <color rgb="FF0563C1"/>
      <name val="Calibri"/>
      <family val="2"/>
      <charset val="1"/>
    </font>
    <font>
      <b/>
      <sz val="11"/>
      <color rgb="FF000000"/>
      <name val="Arial Narrow"/>
      <family val="2"/>
      <charset val="1"/>
    </font>
    <font>
      <b/>
      <sz val="10"/>
      <name val="Arial"/>
      <family val="2"/>
      <charset val="1"/>
    </font>
    <font>
      <b/>
      <sz val="14"/>
      <name val="Arial"/>
      <family val="2"/>
      <charset val="1"/>
    </font>
    <font>
      <sz val="12"/>
      <name val="Arial"/>
      <family val="2"/>
      <charset val="1"/>
    </font>
    <font>
      <b/>
      <sz val="11"/>
      <color rgb="FFFFFFFF"/>
      <name val="Arial"/>
      <family val="2"/>
      <charset val="1"/>
    </font>
    <font>
      <sz val="11"/>
      <color rgb="FF000000"/>
      <name val="Arial"/>
      <family val="2"/>
      <charset val="1"/>
    </font>
    <font>
      <b/>
      <sz val="9"/>
      <name val="Arial"/>
      <family val="2"/>
      <charset val="1"/>
    </font>
    <font>
      <b/>
      <sz val="8"/>
      <name val="Arial"/>
      <family val="2"/>
      <charset val="1"/>
    </font>
    <font>
      <b/>
      <sz val="8"/>
      <color rgb="FF000000"/>
      <name val="Arial"/>
      <family val="2"/>
      <charset val="1"/>
    </font>
    <font>
      <b/>
      <strike/>
      <sz val="10"/>
      <name val="Arial"/>
      <family val="2"/>
      <charset val="1"/>
    </font>
    <font>
      <b/>
      <sz val="12"/>
      <name val="Arial"/>
      <family val="2"/>
      <charset val="1"/>
    </font>
    <font>
      <sz val="8"/>
      <name val="Arial"/>
      <family val="2"/>
      <charset val="1"/>
    </font>
    <font>
      <sz val="10"/>
      <name val="Arial Narrow"/>
      <family val="2"/>
      <charset val="1"/>
    </font>
    <font>
      <sz val="7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theme="0"/>
      <name val="Calibri"/>
      <family val="2"/>
      <charset val="1"/>
    </font>
    <font>
      <u/>
      <sz val="11"/>
      <color theme="0"/>
      <name val="Calibri"/>
      <family val="2"/>
      <charset val="1"/>
    </font>
    <font>
      <sz val="11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BDD7EE"/>
        <bgColor rgb="FFCCCCFF"/>
      </patternFill>
    </fill>
    <fill>
      <patternFill patternType="solid">
        <fgColor rgb="FFE7E6E6"/>
        <bgColor rgb="FFDBDBDB"/>
      </patternFill>
    </fill>
    <fill>
      <patternFill patternType="solid">
        <fgColor rgb="FFC0C0C0"/>
        <bgColor rgb="FFBDD7EE"/>
      </patternFill>
    </fill>
    <fill>
      <patternFill patternType="solid">
        <fgColor rgb="FF92D050"/>
        <bgColor rgb="FFC0C0C0"/>
      </patternFill>
    </fill>
    <fill>
      <patternFill patternType="solid">
        <fgColor rgb="FFDBDBDB"/>
        <bgColor rgb="FFE7E6E6"/>
      </patternFill>
    </fill>
    <fill>
      <patternFill patternType="solid">
        <fgColor rgb="FFCCCCFF"/>
        <bgColor rgb="FFBDD7EE"/>
      </patternFill>
    </fill>
  </fills>
  <borders count="6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</borders>
  <cellStyleXfs count="11">
    <xf numFmtId="0" fontId="0" fillId="0" borderId="0"/>
    <xf numFmtId="165" fontId="28" fillId="0" borderId="0" applyBorder="0" applyProtection="0"/>
    <xf numFmtId="164" fontId="28" fillId="0" borderId="0" applyBorder="0" applyProtection="0"/>
    <xf numFmtId="0" fontId="13" fillId="0" borderId="0" applyBorder="0" applyProtection="0"/>
    <xf numFmtId="164" fontId="28" fillId="0" borderId="0" applyBorder="0" applyProtection="0"/>
    <xf numFmtId="0" fontId="1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165" fontId="28" fillId="0" borderId="0" applyBorder="0" applyProtection="0"/>
  </cellStyleXfs>
  <cellXfs count="257">
    <xf numFmtId="0" fontId="0" fillId="0" borderId="0" xfId="0"/>
    <xf numFmtId="49" fontId="14" fillId="0" borderId="0" xfId="0" applyNumberFormat="1" applyFont="1" applyAlignment="1">
      <alignment horizontal="center" vertical="top" wrapText="1"/>
    </xf>
    <xf numFmtId="0" fontId="0" fillId="4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2" borderId="4" xfId="0" applyFont="1" applyFill="1" applyBorder="1" applyAlignment="1">
      <alignment vertical="center"/>
    </xf>
    <xf numFmtId="0" fontId="0" fillId="4" borderId="6" xfId="0" applyFill="1" applyBorder="1" applyAlignment="1">
      <alignment horizontal="center" vertical="center"/>
    </xf>
    <xf numFmtId="0" fontId="0" fillId="0" borderId="6" xfId="0" applyBorder="1"/>
    <xf numFmtId="164" fontId="0" fillId="0" borderId="6" xfId="0" applyNumberFormat="1" applyBorder="1"/>
    <xf numFmtId="0" fontId="0" fillId="0" borderId="7" xfId="0" applyBorder="1"/>
    <xf numFmtId="0" fontId="0" fillId="4" borderId="6" xfId="0" applyFill="1" applyBorder="1"/>
    <xf numFmtId="0" fontId="0" fillId="0" borderId="0" xfId="0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wrapText="1"/>
    </xf>
    <xf numFmtId="4" fontId="0" fillId="0" borderId="0" xfId="0" applyNumberFormat="1"/>
    <xf numFmtId="164" fontId="28" fillId="0" borderId="0" xfId="2" applyBorder="1" applyProtection="1"/>
    <xf numFmtId="164" fontId="0" fillId="0" borderId="0" xfId="0" applyNumberFormat="1"/>
    <xf numFmtId="164" fontId="28" fillId="0" borderId="6" xfId="2" applyBorder="1" applyProtection="1"/>
    <xf numFmtId="0" fontId="4" fillId="0" borderId="6" xfId="0" applyFont="1" applyBorder="1"/>
    <xf numFmtId="0" fontId="5" fillId="3" borderId="6" xfId="7" applyFont="1" applyFill="1" applyBorder="1" applyAlignment="1">
      <alignment horizontal="center" vertical="center"/>
    </xf>
    <xf numFmtId="0" fontId="5" fillId="3" borderId="6" xfId="7" applyFont="1" applyFill="1" applyBorder="1" applyAlignment="1">
      <alignment horizontal="left" vertical="center" wrapText="1"/>
    </xf>
    <xf numFmtId="166" fontId="5" fillId="3" borderId="6" xfId="4" applyNumberFormat="1" applyFont="1" applyFill="1" applyBorder="1" applyAlignment="1" applyProtection="1">
      <alignment horizontal="center" vertical="center"/>
    </xf>
    <xf numFmtId="167" fontId="5" fillId="3" borderId="6" xfId="4" applyNumberFormat="1" applyFont="1" applyFill="1" applyBorder="1" applyAlignment="1" applyProtection="1">
      <alignment horizontal="center" vertical="center"/>
    </xf>
    <xf numFmtId="167" fontId="5" fillId="3" borderId="4" xfId="4" applyNumberFormat="1" applyFont="1" applyFill="1" applyBorder="1" applyAlignment="1" applyProtection="1">
      <alignment horizontal="center" vertical="center"/>
    </xf>
    <xf numFmtId="0" fontId="6" fillId="2" borderId="11" xfId="7" applyFont="1" applyFill="1" applyBorder="1" applyAlignment="1">
      <alignment horizontal="center" vertical="center"/>
    </xf>
    <xf numFmtId="0" fontId="6" fillId="2" borderId="6" xfId="7" applyFont="1" applyFill="1" applyBorder="1" applyAlignment="1">
      <alignment horizontal="center" vertical="center"/>
    </xf>
    <xf numFmtId="0" fontId="6" fillId="2" borderId="6" xfId="7" applyFont="1" applyFill="1" applyBorder="1" applyAlignment="1">
      <alignment horizontal="left" vertical="center" wrapText="1"/>
    </xf>
    <xf numFmtId="166" fontId="6" fillId="2" borderId="6" xfId="7" applyNumberFormat="1" applyFont="1" applyFill="1" applyBorder="1" applyAlignment="1">
      <alignment horizontal="right" vertical="center"/>
    </xf>
    <xf numFmtId="4" fontId="6" fillId="0" borderId="6" xfId="4" applyNumberFormat="1" applyFont="1" applyBorder="1" applyAlignment="1" applyProtection="1">
      <alignment horizontal="right" vertical="center"/>
    </xf>
    <xf numFmtId="4" fontId="6" fillId="2" borderId="4" xfId="4" applyNumberFormat="1" applyFont="1" applyFill="1" applyBorder="1" applyAlignment="1" applyProtection="1">
      <alignment horizontal="right" vertical="center"/>
    </xf>
    <xf numFmtId="0" fontId="6" fillId="0" borderId="6" xfId="7" applyFont="1" applyBorder="1" applyAlignment="1">
      <alignment horizontal="center" vertical="center"/>
    </xf>
    <xf numFmtId="4" fontId="6" fillId="0" borderId="6" xfId="4" applyNumberFormat="1" applyFont="1" applyBorder="1" applyAlignment="1" applyProtection="1">
      <alignment horizontal="right" vertical="center" wrapText="1"/>
    </xf>
    <xf numFmtId="0" fontId="6" fillId="2" borderId="6" xfId="7" applyFont="1" applyFill="1" applyBorder="1" applyAlignment="1">
      <alignment horizontal="center" vertical="center" wrapText="1"/>
    </xf>
    <xf numFmtId="166" fontId="6" fillId="2" borderId="6" xfId="7" applyNumberFormat="1" applyFont="1" applyFill="1" applyBorder="1" applyAlignment="1">
      <alignment horizontal="right" vertical="center" wrapText="1"/>
    </xf>
    <xf numFmtId="0" fontId="0" fillId="0" borderId="12" xfId="0" applyBorder="1"/>
    <xf numFmtId="4" fontId="7" fillId="5" borderId="4" xfId="5" applyNumberFormat="1" applyFont="1" applyFill="1" applyBorder="1" applyAlignment="1">
      <alignment horizontal="right" vertical="center"/>
    </xf>
    <xf numFmtId="0" fontId="0" fillId="0" borderId="13" xfId="0" applyBorder="1"/>
    <xf numFmtId="4" fontId="7" fillId="0" borderId="4" xfId="5" applyNumberFormat="1" applyFont="1" applyBorder="1" applyAlignment="1">
      <alignment horizontal="right" vertical="center"/>
    </xf>
    <xf numFmtId="0" fontId="0" fillId="0" borderId="14" xfId="0" applyBorder="1"/>
    <xf numFmtId="0" fontId="0" fillId="0" borderId="15" xfId="0" applyBorder="1"/>
    <xf numFmtId="4" fontId="8" fillId="6" borderId="17" xfId="5" applyNumberFormat="1" applyFont="1" applyFill="1" applyBorder="1" applyAlignment="1">
      <alignment horizontal="right" vertical="center"/>
    </xf>
    <xf numFmtId="10" fontId="0" fillId="0" borderId="0" xfId="0" applyNumberFormat="1"/>
    <xf numFmtId="0" fontId="0" fillId="2" borderId="6" xfId="0" applyFill="1" applyBorder="1"/>
    <xf numFmtId="4" fontId="7" fillId="0" borderId="6" xfId="5" applyNumberFormat="1" applyFont="1" applyBorder="1" applyAlignment="1">
      <alignment horizontal="right" vertical="center"/>
    </xf>
    <xf numFmtId="4" fontId="8" fillId="6" borderId="6" xfId="5" applyNumberFormat="1" applyFont="1" applyFill="1" applyBorder="1" applyAlignment="1">
      <alignment horizontal="right" vertical="center"/>
    </xf>
    <xf numFmtId="4" fontId="6" fillId="0" borderId="10" xfId="4" applyNumberFormat="1" applyFont="1" applyBorder="1" applyAlignment="1" applyProtection="1">
      <alignment horizontal="right" vertical="center" wrapText="1"/>
    </xf>
    <xf numFmtId="0" fontId="0" fillId="0" borderId="11" xfId="0" applyBorder="1"/>
    <xf numFmtId="0" fontId="0" fillId="0" borderId="18" xfId="0" applyBorder="1"/>
    <xf numFmtId="0" fontId="0" fillId="0" borderId="19" xfId="0" applyBorder="1"/>
    <xf numFmtId="0" fontId="6" fillId="2" borderId="19" xfId="7" applyFont="1" applyFill="1" applyBorder="1" applyAlignment="1">
      <alignment horizontal="left" vertical="center" wrapText="1"/>
    </xf>
    <xf numFmtId="0" fontId="0" fillId="0" borderId="20" xfId="0" applyBorder="1"/>
    <xf numFmtId="0" fontId="0" fillId="0" borderId="16" xfId="0" applyBorder="1"/>
    <xf numFmtId="0" fontId="0" fillId="0" borderId="21" xfId="0" applyBorder="1"/>
    <xf numFmtId="0" fontId="9" fillId="3" borderId="6" xfId="7" applyFont="1" applyFill="1" applyBorder="1" applyAlignment="1">
      <alignment horizontal="left" vertical="center" wrapText="1"/>
    </xf>
    <xf numFmtId="0" fontId="10" fillId="0" borderId="6" xfId="7" applyFont="1" applyBorder="1" applyAlignment="1">
      <alignment horizontal="center" vertical="center" wrapText="1"/>
    </xf>
    <xf numFmtId="0" fontId="10" fillId="0" borderId="6" xfId="7" applyFont="1" applyBorder="1" applyAlignment="1">
      <alignment horizontal="left" vertical="center" wrapText="1"/>
    </xf>
    <xf numFmtId="168" fontId="0" fillId="0" borderId="0" xfId="0" applyNumberFormat="1"/>
    <xf numFmtId="0" fontId="6" fillId="2" borderId="8" xfId="7" applyFont="1" applyFill="1" applyBorder="1" applyAlignment="1">
      <alignment horizontal="left" vertical="center" wrapText="1"/>
    </xf>
    <xf numFmtId="0" fontId="6" fillId="2" borderId="8" xfId="7" applyFont="1" applyFill="1" applyBorder="1" applyAlignment="1">
      <alignment horizontal="center" vertical="center"/>
    </xf>
    <xf numFmtId="166" fontId="6" fillId="2" borderId="8" xfId="7" applyNumberFormat="1" applyFont="1" applyFill="1" applyBorder="1" applyAlignment="1">
      <alignment horizontal="right" vertical="center"/>
    </xf>
    <xf numFmtId="4" fontId="6" fillId="0" borderId="8" xfId="4" applyNumberFormat="1" applyFont="1" applyBorder="1" applyAlignment="1" applyProtection="1">
      <alignment horizontal="right" vertical="center" wrapText="1"/>
    </xf>
    <xf numFmtId="0" fontId="5" fillId="3" borderId="6" xfId="7" applyFont="1" applyFill="1" applyBorder="1" applyAlignment="1">
      <alignment horizontal="center" vertical="center" wrapText="1"/>
    </xf>
    <xf numFmtId="166" fontId="5" fillId="3" borderId="6" xfId="4" applyNumberFormat="1" applyFont="1" applyFill="1" applyBorder="1" applyAlignment="1" applyProtection="1">
      <alignment horizontal="center" vertical="center" wrapText="1"/>
    </xf>
    <xf numFmtId="167" fontId="5" fillId="3" borderId="6" xfId="4" applyNumberFormat="1" applyFont="1" applyFill="1" applyBorder="1" applyAlignment="1" applyProtection="1">
      <alignment horizontal="center" vertical="center" wrapText="1"/>
    </xf>
    <xf numFmtId="167" fontId="5" fillId="3" borderId="4" xfId="4" applyNumberFormat="1" applyFont="1" applyFill="1" applyBorder="1" applyAlignment="1" applyProtection="1">
      <alignment horizontal="center" vertical="center" wrapText="1"/>
    </xf>
    <xf numFmtId="0" fontId="6" fillId="2" borderId="11" xfId="7" applyFont="1" applyFill="1" applyBorder="1" applyAlignment="1">
      <alignment horizontal="center" vertical="center" wrapText="1"/>
    </xf>
    <xf numFmtId="0" fontId="11" fillId="0" borderId="6" xfId="7" applyFont="1" applyBorder="1" applyAlignment="1">
      <alignment horizontal="center" vertical="center" wrapText="1"/>
    </xf>
    <xf numFmtId="0" fontId="11" fillId="0" borderId="6" xfId="7" applyFont="1" applyBorder="1" applyAlignment="1">
      <alignment horizontal="left" vertical="center" wrapText="1"/>
    </xf>
    <xf numFmtId="166" fontId="11" fillId="0" borderId="6" xfId="4" applyNumberFormat="1" applyFont="1" applyBorder="1" applyAlignment="1" applyProtection="1">
      <alignment horizontal="right" vertical="center" wrapText="1"/>
    </xf>
    <xf numFmtId="167" fontId="11" fillId="0" borderId="6" xfId="4" applyNumberFormat="1" applyFont="1" applyBorder="1" applyAlignment="1" applyProtection="1">
      <alignment horizontal="right" vertical="center" wrapText="1"/>
    </xf>
    <xf numFmtId="4" fontId="6" fillId="2" borderId="4" xfId="4" applyNumberFormat="1" applyFont="1" applyFill="1" applyBorder="1" applyAlignment="1" applyProtection="1">
      <alignment horizontal="right" vertical="center" wrapText="1"/>
    </xf>
    <xf numFmtId="0" fontId="6" fillId="2" borderId="18" xfId="7" applyFont="1" applyFill="1" applyBorder="1" applyAlignment="1">
      <alignment horizontal="center" vertical="center" wrapText="1"/>
    </xf>
    <xf numFmtId="0" fontId="6" fillId="2" borderId="19" xfId="7" applyFont="1" applyFill="1" applyBorder="1" applyAlignment="1">
      <alignment horizontal="center" vertical="center" wrapText="1"/>
    </xf>
    <xf numFmtId="0" fontId="11" fillId="0" borderId="19" xfId="7" applyFont="1" applyBorder="1" applyAlignment="1">
      <alignment horizontal="left" vertical="center" wrapText="1"/>
    </xf>
    <xf numFmtId="166" fontId="11" fillId="0" borderId="19" xfId="4" applyNumberFormat="1" applyFont="1" applyBorder="1" applyAlignment="1" applyProtection="1">
      <alignment horizontal="right" vertical="center" wrapText="1"/>
    </xf>
    <xf numFmtId="167" fontId="11" fillId="0" borderId="19" xfId="4" applyNumberFormat="1" applyFont="1" applyBorder="1" applyAlignment="1" applyProtection="1">
      <alignment horizontal="right" vertical="center" wrapText="1"/>
    </xf>
    <xf numFmtId="4" fontId="6" fillId="2" borderId="22" xfId="4" applyNumberFormat="1" applyFont="1" applyFill="1" applyBorder="1" applyAlignment="1" applyProtection="1">
      <alignment horizontal="right" vertical="center" wrapText="1"/>
    </xf>
    <xf numFmtId="0" fontId="6" fillId="2" borderId="10" xfId="7" applyFont="1" applyFill="1" applyBorder="1" applyAlignment="1">
      <alignment horizontal="center" vertical="center" wrapText="1"/>
    </xf>
    <xf numFmtId="167" fontId="11" fillId="0" borderId="9" xfId="4" applyNumberFormat="1" applyFont="1" applyBorder="1" applyAlignment="1" applyProtection="1">
      <alignment horizontal="right" vertical="center" wrapText="1"/>
    </xf>
    <xf numFmtId="4" fontId="6" fillId="0" borderId="4" xfId="4" applyNumberFormat="1" applyFont="1" applyBorder="1" applyAlignment="1" applyProtection="1">
      <alignment horizontal="right" vertical="center" wrapText="1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4" fontId="8" fillId="6" borderId="4" xfId="5" applyNumberFormat="1" applyFont="1" applyFill="1" applyBorder="1" applyAlignment="1">
      <alignment horizontal="right" vertical="center"/>
    </xf>
    <xf numFmtId="0" fontId="6" fillId="0" borderId="6" xfId="7" applyFont="1" applyBorder="1" applyAlignment="1">
      <alignment horizontal="center" vertical="center" wrapText="1"/>
    </xf>
    <xf numFmtId="0" fontId="1" fillId="0" borderId="12" xfId="0" applyFont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28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0" fillId="0" borderId="26" xfId="0" applyBorder="1"/>
    <xf numFmtId="0" fontId="0" fillId="0" borderId="27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25" xfId="0" applyBorder="1" applyAlignment="1">
      <alignment wrapText="1"/>
    </xf>
    <xf numFmtId="0" fontId="12" fillId="0" borderId="0" xfId="0" applyFont="1"/>
    <xf numFmtId="0" fontId="6" fillId="2" borderId="6" xfId="7" applyFont="1" applyFill="1" applyBorder="1" applyAlignment="1">
      <alignment horizontal="left" vertical="center"/>
    </xf>
    <xf numFmtId="0" fontId="6" fillId="2" borderId="29" xfId="7" applyFont="1" applyFill="1" applyBorder="1" applyAlignment="1">
      <alignment horizontal="center" vertical="center"/>
    </xf>
    <xf numFmtId="0" fontId="6" fillId="0" borderId="11" xfId="7" applyFont="1" applyBorder="1" applyAlignment="1">
      <alignment horizontal="center" vertical="center"/>
    </xf>
    <xf numFmtId="0" fontId="6" fillId="2" borderId="19" xfId="7" applyFont="1" applyFill="1" applyBorder="1" applyAlignment="1">
      <alignment horizontal="left" vertical="center"/>
    </xf>
    <xf numFmtId="4" fontId="12" fillId="0" borderId="0" xfId="0" applyNumberFormat="1" applyFont="1"/>
    <xf numFmtId="0" fontId="15" fillId="0" borderId="0" xfId="0" applyFont="1" applyAlignment="1">
      <alignment vertical="top" wrapText="1"/>
    </xf>
    <xf numFmtId="0" fontId="1" fillId="0" borderId="0" xfId="5"/>
    <xf numFmtId="49" fontId="18" fillId="2" borderId="13" xfId="6" applyNumberFormat="1" applyFont="1" applyFill="1" applyBorder="1" applyAlignment="1">
      <alignment horizontal="center" vertical="center"/>
    </xf>
    <xf numFmtId="49" fontId="18" fillId="2" borderId="0" xfId="6" applyNumberFormat="1" applyFont="1" applyFill="1" applyAlignment="1">
      <alignment horizontal="center" vertical="center"/>
    </xf>
    <xf numFmtId="0" fontId="19" fillId="0" borderId="0" xfId="6" applyFont="1"/>
    <xf numFmtId="0" fontId="19" fillId="0" borderId="34" xfId="6" applyFont="1" applyBorder="1"/>
    <xf numFmtId="0" fontId="20" fillId="2" borderId="0" xfId="6" applyFont="1" applyFill="1" applyAlignment="1">
      <alignment horizontal="center" vertical="center"/>
    </xf>
    <xf numFmtId="0" fontId="20" fillId="0" borderId="20" xfId="6" applyFont="1" applyBorder="1" applyAlignment="1">
      <alignment horizontal="center" vertical="center"/>
    </xf>
    <xf numFmtId="0" fontId="20" fillId="0" borderId="17" xfId="6" applyFont="1" applyBorder="1" applyAlignment="1">
      <alignment horizontal="center" vertical="center"/>
    </xf>
    <xf numFmtId="0" fontId="1" fillId="0" borderId="0" xfId="6" applyFont="1" applyAlignment="1">
      <alignment vertical="center"/>
    </xf>
    <xf numFmtId="169" fontId="15" fillId="0" borderId="39" xfId="6" applyNumberFormat="1" applyFont="1" applyBorder="1" applyAlignment="1">
      <alignment horizontal="center" vertical="center" wrapText="1"/>
    </xf>
    <xf numFmtId="0" fontId="15" fillId="0" borderId="0" xfId="6" applyFont="1" applyAlignment="1">
      <alignment horizontal="justify" vertical="center" wrapText="1"/>
    </xf>
    <xf numFmtId="0" fontId="15" fillId="0" borderId="39" xfId="6" applyFont="1" applyBorder="1" applyAlignment="1">
      <alignment horizontal="justify" vertical="center" wrapText="1"/>
    </xf>
    <xf numFmtId="0" fontId="19" fillId="0" borderId="40" xfId="6" applyFont="1" applyBorder="1"/>
    <xf numFmtId="0" fontId="1" fillId="0" borderId="11" xfId="6" applyFont="1" applyBorder="1" applyAlignment="1">
      <alignment horizontal="center" vertical="center"/>
    </xf>
    <xf numFmtId="0" fontId="1" fillId="0" borderId="6" xfId="6" applyFont="1" applyBorder="1" applyAlignment="1">
      <alignment vertical="center"/>
    </xf>
    <xf numFmtId="10" fontId="1" fillId="0" borderId="4" xfId="10" applyNumberFormat="1" applyFont="1" applyBorder="1" applyAlignment="1" applyProtection="1">
      <alignment horizontal="center" vertical="center"/>
      <protection locked="0"/>
    </xf>
    <xf numFmtId="10" fontId="1" fillId="0" borderId="0" xfId="10" applyNumberFormat="1" applyFont="1" applyBorder="1" applyAlignment="1" applyProtection="1">
      <alignment horizontal="center" vertical="center"/>
    </xf>
    <xf numFmtId="10" fontId="1" fillId="0" borderId="11" xfId="10" applyNumberFormat="1" applyFont="1" applyBorder="1" applyAlignment="1" applyProtection="1">
      <alignment horizontal="center" vertical="center"/>
    </xf>
    <xf numFmtId="10" fontId="1" fillId="0" borderId="4" xfId="10" applyNumberFormat="1" applyFont="1" applyBorder="1" applyAlignment="1" applyProtection="1">
      <alignment horizontal="center" vertical="center"/>
    </xf>
    <xf numFmtId="10" fontId="15" fillId="0" borderId="17" xfId="10" applyNumberFormat="1" applyFont="1" applyBorder="1" applyAlignment="1" applyProtection="1">
      <alignment horizontal="center" vertical="center"/>
    </xf>
    <xf numFmtId="10" fontId="15" fillId="0" borderId="0" xfId="10" applyNumberFormat="1" applyFont="1" applyBorder="1" applyAlignment="1" applyProtection="1">
      <alignment horizontal="center" vertical="center"/>
    </xf>
    <xf numFmtId="10" fontId="1" fillId="0" borderId="20" xfId="10" applyNumberFormat="1" applyFont="1" applyBorder="1" applyAlignment="1" applyProtection="1">
      <alignment horizontal="center" vertical="center"/>
    </xf>
    <xf numFmtId="10" fontId="1" fillId="0" borderId="17" xfId="10" applyNumberFormat="1" applyFont="1" applyBorder="1" applyAlignment="1" applyProtection="1">
      <alignment horizontal="center" vertical="center"/>
    </xf>
    <xf numFmtId="0" fontId="1" fillId="0" borderId="13" xfId="6" applyFont="1" applyBorder="1" applyAlignment="1">
      <alignment horizontal="center" vertical="center"/>
    </xf>
    <xf numFmtId="0" fontId="1" fillId="0" borderId="0" xfId="6" applyFont="1" applyAlignment="1">
      <alignment horizontal="center" vertical="center"/>
    </xf>
    <xf numFmtId="10" fontId="1" fillId="0" borderId="34" xfId="10" applyNumberFormat="1" applyFont="1" applyBorder="1" applyAlignment="1" applyProtection="1">
      <alignment horizontal="center" vertical="center"/>
    </xf>
    <xf numFmtId="10" fontId="1" fillId="0" borderId="39" xfId="10" applyNumberFormat="1" applyFont="1" applyBorder="1" applyAlignment="1" applyProtection="1">
      <alignment horizontal="center" vertical="center"/>
    </xf>
    <xf numFmtId="10" fontId="1" fillId="0" borderId="40" xfId="10" applyNumberFormat="1" applyFont="1" applyBorder="1" applyAlignment="1" applyProtection="1">
      <alignment horizontal="center" vertical="center"/>
    </xf>
    <xf numFmtId="10" fontId="15" fillId="0" borderId="0" xfId="10" applyNumberFormat="1" applyFont="1" applyBorder="1" applyAlignment="1" applyProtection="1">
      <alignment horizontal="center" vertical="center" wrapText="1"/>
    </xf>
    <xf numFmtId="10" fontId="1" fillId="0" borderId="42" xfId="10" applyNumberFormat="1" applyFont="1" applyBorder="1" applyAlignment="1" applyProtection="1">
      <alignment horizontal="center" vertical="center"/>
    </xf>
    <xf numFmtId="10" fontId="1" fillId="0" borderId="44" xfId="10" applyNumberFormat="1" applyFont="1" applyBorder="1" applyAlignment="1" applyProtection="1">
      <alignment horizontal="center" vertical="center"/>
    </xf>
    <xf numFmtId="0" fontId="1" fillId="0" borderId="18" xfId="6" applyFont="1" applyBorder="1" applyAlignment="1">
      <alignment horizontal="center" vertical="center"/>
    </xf>
    <xf numFmtId="0" fontId="1" fillId="0" borderId="19" xfId="6" applyFont="1" applyBorder="1" applyAlignment="1">
      <alignment vertical="center"/>
    </xf>
    <xf numFmtId="10" fontId="1" fillId="0" borderId="22" xfId="10" applyNumberFormat="1" applyFont="1" applyBorder="1" applyAlignment="1" applyProtection="1">
      <alignment horizontal="center" vertical="center"/>
      <protection locked="0"/>
    </xf>
    <xf numFmtId="10" fontId="1" fillId="0" borderId="0" xfId="10" applyNumberFormat="1" applyFont="1" applyBorder="1" applyAlignment="1" applyProtection="1">
      <alignment vertical="center"/>
    </xf>
    <xf numFmtId="10" fontId="1" fillId="0" borderId="34" xfId="10" applyNumberFormat="1" applyFont="1" applyBorder="1" applyAlignment="1" applyProtection="1">
      <alignment vertical="center"/>
    </xf>
    <xf numFmtId="169" fontId="15" fillId="0" borderId="13" xfId="6" applyNumberFormat="1" applyFont="1" applyBorder="1" applyAlignment="1">
      <alignment horizontal="center" vertical="center" wrapText="1"/>
    </xf>
    <xf numFmtId="169" fontId="1" fillId="0" borderId="0" xfId="6" applyNumberFormat="1" applyFont="1" applyAlignment="1">
      <alignment vertical="center"/>
    </xf>
    <xf numFmtId="0" fontId="15" fillId="0" borderId="0" xfId="6" applyFont="1" applyAlignment="1">
      <alignment horizontal="center" vertical="center"/>
    </xf>
    <xf numFmtId="0" fontId="1" fillId="0" borderId="13" xfId="6" applyFont="1" applyBorder="1" applyAlignment="1">
      <alignment horizontal="right" vertical="center"/>
    </xf>
    <xf numFmtId="0" fontId="1" fillId="0" borderId="0" xfId="6" applyFont="1" applyAlignment="1">
      <alignment horizontal="right" vertical="center"/>
    </xf>
    <xf numFmtId="170" fontId="23" fillId="0" borderId="0" xfId="10" applyNumberFormat="1" applyFont="1" applyBorder="1" applyAlignment="1" applyProtection="1">
      <alignment vertical="center"/>
    </xf>
    <xf numFmtId="10" fontId="24" fillId="0" borderId="0" xfId="6" applyNumberFormat="1" applyFont="1" applyAlignment="1">
      <alignment vertical="center"/>
    </xf>
    <xf numFmtId="10" fontId="24" fillId="0" borderId="15" xfId="6" applyNumberFormat="1" applyFont="1" applyBorder="1" applyAlignment="1">
      <alignment vertical="center"/>
    </xf>
    <xf numFmtId="10" fontId="1" fillId="0" borderId="15" xfId="10" applyNumberFormat="1" applyFont="1" applyBorder="1" applyAlignment="1" applyProtection="1">
      <alignment vertical="center"/>
    </xf>
    <xf numFmtId="10" fontId="1" fillId="0" borderId="46" xfId="10" applyNumberFormat="1" applyFont="1" applyBorder="1" applyAlignment="1" applyProtection="1">
      <alignment vertical="center"/>
    </xf>
    <xf numFmtId="49" fontId="14" fillId="0" borderId="47" xfId="0" applyNumberFormat="1" applyFont="1" applyBorder="1" applyAlignment="1">
      <alignment vertical="center" wrapText="1"/>
    </xf>
    <xf numFmtId="49" fontId="14" fillId="0" borderId="48" xfId="0" applyNumberFormat="1" applyFont="1" applyBorder="1" applyAlignment="1">
      <alignment vertical="center"/>
    </xf>
    <xf numFmtId="49" fontId="14" fillId="0" borderId="13" xfId="0" applyNumberFormat="1" applyFont="1" applyBorder="1" applyAlignment="1">
      <alignment horizontal="center" vertical="top" wrapText="1"/>
    </xf>
    <xf numFmtId="49" fontId="14" fillId="0" borderId="34" xfId="0" applyNumberFormat="1" applyFont="1" applyBorder="1" applyAlignment="1">
      <alignment horizontal="center" vertical="top" wrapText="1"/>
    </xf>
    <xf numFmtId="0" fontId="25" fillId="5" borderId="30" xfId="0" applyFont="1" applyFill="1" applyBorder="1" applyAlignment="1">
      <alignment horizontal="left" vertical="top"/>
    </xf>
    <xf numFmtId="0" fontId="16" fillId="5" borderId="51" xfId="8" applyFont="1" applyFill="1" applyBorder="1" applyAlignment="1">
      <alignment horizontal="center" vertical="center"/>
    </xf>
    <xf numFmtId="0" fontId="27" fillId="0" borderId="22" xfId="9" applyFont="1" applyBorder="1" applyAlignment="1">
      <alignment horizontal="left" vertical="top"/>
    </xf>
    <xf numFmtId="0" fontId="25" fillId="0" borderId="53" xfId="9" applyFont="1" applyBorder="1" applyAlignment="1">
      <alignment vertical="center"/>
    </xf>
    <xf numFmtId="0" fontId="25" fillId="0" borderId="6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21" fillId="0" borderId="11" xfId="9" applyFont="1" applyBorder="1" applyAlignment="1">
      <alignment horizontal="center" vertical="center"/>
    </xf>
    <xf numFmtId="0" fontId="21" fillId="0" borderId="55" xfId="9" applyFont="1" applyBorder="1" applyAlignment="1">
      <alignment horizontal="center" vertical="center"/>
    </xf>
    <xf numFmtId="0" fontId="25" fillId="0" borderId="11" xfId="9" applyFont="1" applyBorder="1" applyAlignment="1">
      <alignment horizontal="center" vertical="center"/>
    </xf>
    <xf numFmtId="0" fontId="25" fillId="0" borderId="9" xfId="0" applyFont="1" applyBorder="1" applyAlignment="1">
      <alignment horizontal="left"/>
    </xf>
    <xf numFmtId="0" fontId="25" fillId="0" borderId="56" xfId="0" applyFont="1" applyBorder="1" applyAlignment="1">
      <alignment horizontal="left"/>
    </xf>
    <xf numFmtId="10" fontId="25" fillId="2" borderId="19" xfId="0" applyNumberFormat="1" applyFont="1" applyFill="1" applyBorder="1" applyAlignment="1">
      <alignment horizontal="center"/>
    </xf>
    <xf numFmtId="10" fontId="25" fillId="2" borderId="22" xfId="0" applyNumberFormat="1" applyFont="1" applyFill="1" applyBorder="1" applyAlignment="1">
      <alignment horizontal="center"/>
    </xf>
    <xf numFmtId="10" fontId="21" fillId="0" borderId="57" xfId="0" applyNumberFormat="1" applyFont="1" applyBorder="1" applyAlignment="1">
      <alignment horizontal="center"/>
    </xf>
    <xf numFmtId="10" fontId="21" fillId="0" borderId="58" xfId="0" applyNumberFormat="1" applyFont="1" applyBorder="1" applyAlignment="1">
      <alignment horizontal="center"/>
    </xf>
    <xf numFmtId="0" fontId="21" fillId="8" borderId="60" xfId="0" applyFont="1" applyFill="1" applyBorder="1" applyAlignment="1">
      <alignment horizontal="center"/>
    </xf>
    <xf numFmtId="0" fontId="21" fillId="0" borderId="54" xfId="9" applyFont="1" applyBorder="1" applyAlignment="1">
      <alignment horizontal="center" vertical="center"/>
    </xf>
    <xf numFmtId="0" fontId="25" fillId="0" borderId="9" xfId="0" applyFont="1" applyBorder="1" applyAlignment="1">
      <alignment vertical="center"/>
    </xf>
    <xf numFmtId="0" fontId="25" fillId="0" borderId="56" xfId="9" applyFont="1" applyBorder="1" applyAlignment="1">
      <alignment horizontal="left" vertical="center"/>
    </xf>
    <xf numFmtId="0" fontId="25" fillId="0" borderId="10" xfId="9" applyFont="1" applyBorder="1" applyAlignment="1">
      <alignment horizontal="left" vertical="center"/>
    </xf>
    <xf numFmtId="10" fontId="25" fillId="2" borderId="19" xfId="1" applyNumberFormat="1" applyFont="1" applyFill="1" applyBorder="1" applyAlignment="1" applyProtection="1">
      <alignment horizontal="center"/>
    </xf>
    <xf numFmtId="10" fontId="25" fillId="2" borderId="22" xfId="1" applyNumberFormat="1" applyFont="1" applyFill="1" applyBorder="1" applyAlignment="1" applyProtection="1">
      <alignment horizontal="center"/>
    </xf>
    <xf numFmtId="0" fontId="25" fillId="0" borderId="26" xfId="9" applyFont="1" applyBorder="1" applyAlignment="1">
      <alignment horizontal="left" vertical="center"/>
    </xf>
    <xf numFmtId="0" fontId="25" fillId="0" borderId="61" xfId="0" applyFont="1" applyBorder="1" applyAlignment="1">
      <alignment vertical="center"/>
    </xf>
    <xf numFmtId="10" fontId="25" fillId="2" borderId="6" xfId="1" applyNumberFormat="1" applyFont="1" applyFill="1" applyBorder="1" applyAlignment="1" applyProtection="1">
      <alignment horizontal="center"/>
    </xf>
    <xf numFmtId="10" fontId="25" fillId="2" borderId="4" xfId="1" applyNumberFormat="1" applyFont="1" applyFill="1" applyBorder="1" applyAlignment="1" applyProtection="1">
      <alignment horizontal="center"/>
    </xf>
    <xf numFmtId="0" fontId="21" fillId="8" borderId="59" xfId="9" applyFont="1" applyFill="1" applyBorder="1" applyAlignment="1">
      <alignment horizontal="right" vertical="center"/>
    </xf>
    <xf numFmtId="0" fontId="21" fillId="8" borderId="63" xfId="9" applyFont="1" applyFill="1" applyBorder="1" applyAlignment="1">
      <alignment horizontal="right" vertical="center"/>
    </xf>
    <xf numFmtId="10" fontId="21" fillId="8" borderId="63" xfId="0" applyNumberFormat="1" applyFont="1" applyFill="1" applyBorder="1" applyAlignment="1">
      <alignment horizontal="center"/>
    </xf>
    <xf numFmtId="4" fontId="21" fillId="8" borderId="60" xfId="0" applyNumberFormat="1" applyFont="1" applyFill="1" applyBorder="1" applyAlignment="1">
      <alignment horizontal="center"/>
    </xf>
    <xf numFmtId="10" fontId="21" fillId="0" borderId="37" xfId="1" applyNumberFormat="1" applyFont="1" applyBorder="1" applyAlignment="1" applyProtection="1">
      <alignment horizontal="center" vertical="center"/>
    </xf>
    <xf numFmtId="10" fontId="21" fillId="0" borderId="38" xfId="1" applyNumberFormat="1" applyFont="1" applyBorder="1" applyAlignment="1" applyProtection="1">
      <alignment horizontal="center" vertical="center"/>
    </xf>
    <xf numFmtId="0" fontId="29" fillId="0" borderId="0" xfId="0" applyFont="1"/>
    <xf numFmtId="0" fontId="30" fillId="0" borderId="0" xfId="0" applyFont="1"/>
    <xf numFmtId="164" fontId="30" fillId="0" borderId="0" xfId="2" applyFont="1" applyBorder="1" applyProtection="1"/>
    <xf numFmtId="0" fontId="31" fillId="0" borderId="0" xfId="3" applyFont="1" applyBorder="1" applyProtection="1"/>
    <xf numFmtId="164" fontId="30" fillId="0" borderId="0" xfId="0" applyNumberFormat="1" applyFont="1"/>
    <xf numFmtId="164" fontId="32" fillId="0" borderId="0" xfId="0" applyNumberFormat="1" applyFont="1" applyAlignment="1">
      <alignment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4" borderId="9" xfId="0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164" fontId="3" fillId="0" borderId="6" xfId="0" applyNumberFormat="1" applyFont="1" applyBorder="1" applyAlignment="1">
      <alignment horizontal="center" vertical="center"/>
    </xf>
    <xf numFmtId="0" fontId="7" fillId="0" borderId="6" xfId="5" applyFont="1" applyBorder="1" applyAlignment="1">
      <alignment horizontal="right" vertical="center"/>
    </xf>
    <xf numFmtId="0" fontId="7" fillId="0" borderId="16" xfId="5" applyFont="1" applyBorder="1" applyAlignment="1">
      <alignment horizontal="right" vertical="center"/>
    </xf>
    <xf numFmtId="0" fontId="7" fillId="0" borderId="8" xfId="5" applyFont="1" applyBorder="1" applyAlignment="1">
      <alignment horizontal="right" vertical="center"/>
    </xf>
    <xf numFmtId="0" fontId="1" fillId="0" borderId="13" xfId="6" applyFont="1" applyBorder="1" applyAlignment="1">
      <alignment horizontal="center" vertical="center"/>
    </xf>
    <xf numFmtId="0" fontId="15" fillId="0" borderId="33" xfId="6" applyFont="1" applyBorder="1" applyAlignment="1">
      <alignment horizontal="center" vertical="center"/>
    </xf>
    <xf numFmtId="0" fontId="24" fillId="0" borderId="45" xfId="6" applyFont="1" applyBorder="1" applyAlignment="1">
      <alignment horizontal="center" vertical="center"/>
    </xf>
    <xf numFmtId="10" fontId="24" fillId="7" borderId="16" xfId="6" applyNumberFormat="1" applyFont="1" applyFill="1" applyBorder="1" applyAlignment="1">
      <alignment horizontal="center" vertical="center"/>
    </xf>
    <xf numFmtId="0" fontId="1" fillId="0" borderId="11" xfId="6" applyFont="1" applyBorder="1" applyAlignment="1">
      <alignment horizontal="center" vertical="center"/>
    </xf>
    <xf numFmtId="0" fontId="1" fillId="0" borderId="6" xfId="6" applyFont="1" applyBorder="1" applyAlignment="1">
      <alignment horizontal="left" vertical="center"/>
    </xf>
    <xf numFmtId="10" fontId="1" fillId="0" borderId="4" xfId="10" applyNumberFormat="1" applyFont="1" applyBorder="1" applyAlignment="1" applyProtection="1">
      <alignment horizontal="center" vertical="center"/>
      <protection locked="0"/>
    </xf>
    <xf numFmtId="10" fontId="1" fillId="0" borderId="43" xfId="10" applyNumberFormat="1" applyFont="1" applyBorder="1" applyAlignment="1" applyProtection="1">
      <alignment horizontal="center" vertical="center"/>
    </xf>
    <xf numFmtId="0" fontId="15" fillId="0" borderId="20" xfId="6" applyFont="1" applyBorder="1" applyAlignment="1">
      <alignment horizontal="right" vertical="center"/>
    </xf>
    <xf numFmtId="0" fontId="15" fillId="0" borderId="40" xfId="6" applyFont="1" applyBorder="1" applyAlignment="1">
      <alignment horizontal="justify" vertical="center" wrapText="1"/>
    </xf>
    <xf numFmtId="49" fontId="20" fillId="7" borderId="30" xfId="6" applyNumberFormat="1" applyFont="1" applyFill="1" applyBorder="1" applyAlignment="1">
      <alignment horizontal="center" vertical="center" wrapText="1"/>
    </xf>
    <xf numFmtId="10" fontId="21" fillId="0" borderId="20" xfId="10" applyNumberFormat="1" applyFont="1" applyBorder="1" applyAlignment="1" applyProtection="1">
      <alignment horizontal="center" vertical="center" wrapText="1"/>
    </xf>
    <xf numFmtId="0" fontId="22" fillId="0" borderId="16" xfId="6" applyFont="1" applyBorder="1" applyAlignment="1">
      <alignment horizontal="center" vertical="center" wrapText="1"/>
    </xf>
    <xf numFmtId="0" fontId="22" fillId="0" borderId="17" xfId="6" applyFont="1" applyBorder="1" applyAlignment="1">
      <alignment horizontal="center" vertical="center" wrapText="1"/>
    </xf>
    <xf numFmtId="10" fontId="1" fillId="0" borderId="41" xfId="10" applyNumberFormat="1" applyFont="1" applyBorder="1" applyAlignment="1" applyProtection="1">
      <alignment horizontal="center" vertical="center"/>
    </xf>
    <xf numFmtId="10" fontId="1" fillId="0" borderId="6" xfId="10" applyNumberFormat="1" applyFont="1" applyBorder="1" applyAlignment="1" applyProtection="1">
      <alignment horizontal="center" vertical="center"/>
    </xf>
    <xf numFmtId="10" fontId="1" fillId="0" borderId="16" xfId="10" applyNumberFormat="1" applyFont="1" applyBorder="1" applyAlignment="1" applyProtection="1">
      <alignment horizontal="center" vertical="center"/>
    </xf>
    <xf numFmtId="0" fontId="1" fillId="0" borderId="13" xfId="6" applyFont="1" applyBorder="1" applyAlignment="1">
      <alignment vertical="center"/>
    </xf>
    <xf numFmtId="0" fontId="19" fillId="0" borderId="41" xfId="6" applyFont="1" applyBorder="1" applyAlignment="1">
      <alignment horizontal="center"/>
    </xf>
    <xf numFmtId="0" fontId="16" fillId="0" borderId="31" xfId="0" applyFont="1" applyBorder="1" applyAlignment="1">
      <alignment horizontal="center" vertical="center"/>
    </xf>
    <xf numFmtId="0" fontId="17" fillId="0" borderId="31" xfId="0" applyFont="1" applyBorder="1" applyAlignment="1">
      <alignment horizontal="center" vertical="center" wrapText="1"/>
    </xf>
    <xf numFmtId="0" fontId="17" fillId="0" borderId="32" xfId="0" applyFont="1" applyBorder="1" applyAlignment="1">
      <alignment horizontal="left" vertical="center" wrapText="1"/>
    </xf>
    <xf numFmtId="49" fontId="2" fillId="7" borderId="33" xfId="6" applyNumberFormat="1" applyFont="1" applyFill="1" applyBorder="1" applyAlignment="1">
      <alignment horizontal="center" vertical="center"/>
    </xf>
    <xf numFmtId="49" fontId="20" fillId="7" borderId="35" xfId="6" applyNumberFormat="1" applyFont="1" applyFill="1" applyBorder="1" applyAlignment="1">
      <alignment horizontal="center" vertical="center" wrapText="1"/>
    </xf>
    <xf numFmtId="0" fontId="20" fillId="0" borderId="36" xfId="6" applyFont="1" applyBorder="1" applyAlignment="1">
      <alignment horizontal="center" vertical="center"/>
    </xf>
    <xf numFmtId="0" fontId="20" fillId="0" borderId="37" xfId="6" applyFont="1" applyBorder="1" applyAlignment="1">
      <alignment horizontal="center" vertical="center"/>
    </xf>
    <xf numFmtId="0" fontId="20" fillId="0" borderId="38" xfId="6" applyFont="1" applyBorder="1" applyAlignment="1">
      <alignment horizontal="center" vertical="center"/>
    </xf>
    <xf numFmtId="0" fontId="20" fillId="2" borderId="16" xfId="6" applyFont="1" applyFill="1" applyBorder="1" applyAlignment="1">
      <alignment horizontal="center" vertical="center"/>
    </xf>
    <xf numFmtId="49" fontId="14" fillId="0" borderId="0" xfId="0" applyNumberFormat="1" applyFont="1" applyAlignment="1">
      <alignment vertical="top" wrapText="1"/>
    </xf>
    <xf numFmtId="49" fontId="14" fillId="0" borderId="0" xfId="0" applyNumberFormat="1" applyFont="1" applyAlignment="1">
      <alignment horizontal="center" vertical="top" wrapText="1"/>
    </xf>
    <xf numFmtId="0" fontId="16" fillId="0" borderId="30" xfId="0" applyFont="1" applyBorder="1" applyAlignment="1">
      <alignment horizontal="center" vertical="center"/>
    </xf>
    <xf numFmtId="0" fontId="21" fillId="0" borderId="12" xfId="9" applyFont="1" applyBorder="1" applyAlignment="1">
      <alignment horizontal="right" vertical="center"/>
    </xf>
    <xf numFmtId="0" fontId="21" fillId="0" borderId="64" xfId="9" applyFont="1" applyBorder="1" applyAlignment="1">
      <alignment horizontal="right" vertical="center"/>
    </xf>
    <xf numFmtId="0" fontId="25" fillId="8" borderId="62" xfId="9" applyFont="1" applyFill="1" applyBorder="1" applyAlignment="1">
      <alignment horizontal="center" vertical="center"/>
    </xf>
    <xf numFmtId="0" fontId="21" fillId="0" borderId="8" xfId="9" applyFont="1" applyBorder="1" applyAlignment="1">
      <alignment horizontal="left" vertical="center"/>
    </xf>
    <xf numFmtId="0" fontId="25" fillId="0" borderId="6" xfId="9" applyFont="1" applyBorder="1" applyAlignment="1">
      <alignment horizontal="left" vertical="center"/>
    </xf>
    <xf numFmtId="0" fontId="25" fillId="0" borderId="6" xfId="9" applyFont="1" applyBorder="1" applyAlignment="1">
      <alignment horizontal="left" vertical="center" wrapText="1"/>
    </xf>
    <xf numFmtId="0" fontId="25" fillId="0" borderId="6" xfId="0" applyFont="1" applyBorder="1" applyAlignment="1">
      <alignment horizontal="left" vertical="center"/>
    </xf>
    <xf numFmtId="0" fontId="25" fillId="8" borderId="59" xfId="9" applyFont="1" applyFill="1" applyBorder="1" applyAlignment="1">
      <alignment horizontal="center" vertical="center"/>
    </xf>
    <xf numFmtId="0" fontId="21" fillId="0" borderId="29" xfId="9" applyFont="1" applyBorder="1" applyAlignment="1">
      <alignment horizontal="right" vertical="center"/>
    </xf>
    <xf numFmtId="0" fontId="26" fillId="0" borderId="52" xfId="9" applyFont="1" applyBorder="1" applyAlignment="1">
      <alignment horizontal="center" vertical="center" wrapText="1"/>
    </xf>
    <xf numFmtId="0" fontId="25" fillId="0" borderId="54" xfId="9" applyFont="1" applyBorder="1" applyAlignment="1">
      <alignment horizontal="center" vertical="center"/>
    </xf>
    <xf numFmtId="0" fontId="21" fillId="0" borderId="6" xfId="9" applyFont="1" applyBorder="1" applyAlignment="1">
      <alignment horizontal="left" vertical="center"/>
    </xf>
    <xf numFmtId="0" fontId="25" fillId="0" borderId="9" xfId="0" applyFont="1" applyBorder="1" applyAlignment="1">
      <alignment horizontal="left"/>
    </xf>
    <xf numFmtId="49" fontId="14" fillId="0" borderId="49" xfId="0" applyNumberFormat="1" applyFont="1" applyBorder="1" applyAlignment="1">
      <alignment vertical="center"/>
    </xf>
    <xf numFmtId="49" fontId="14" fillId="0" borderId="31" xfId="0" applyNumberFormat="1" applyFont="1" applyBorder="1" applyAlignment="1">
      <alignment horizontal="center" vertical="top" wrapText="1"/>
    </xf>
    <xf numFmtId="49" fontId="14" fillId="0" borderId="31" xfId="0" applyNumberFormat="1" applyFont="1" applyBorder="1" applyAlignment="1">
      <alignment horizontal="left" vertical="center" wrapText="1"/>
    </xf>
    <xf numFmtId="0" fontId="24" fillId="5" borderId="50" xfId="9" applyFont="1" applyFill="1" applyBorder="1" applyAlignment="1">
      <alignment horizontal="center" vertical="center"/>
    </xf>
  </cellXfs>
  <cellStyles count="11">
    <cellStyle name="Hiperlink" xfId="3" builtinId="8"/>
    <cellStyle name="Moeda" xfId="2" builtinId="4"/>
    <cellStyle name="Moeda 2" xfId="4" xr:uid="{00000000-0005-0000-0000-000006000000}"/>
    <cellStyle name="Normal" xfId="0" builtinId="0"/>
    <cellStyle name="Normal 2 2 2" xfId="5" xr:uid="{00000000-0005-0000-0000-000007000000}"/>
    <cellStyle name="Normal 6" xfId="6" xr:uid="{00000000-0005-0000-0000-000008000000}"/>
    <cellStyle name="Normal_Pesquisa no referencial 10 de maio de 2013" xfId="7" xr:uid="{00000000-0005-0000-0000-000009000000}"/>
    <cellStyle name="Normal_PP-II" xfId="8" xr:uid="{00000000-0005-0000-0000-00000A000000}"/>
    <cellStyle name="Normal_PP-VI" xfId="9" xr:uid="{00000000-0005-0000-0000-00000B000000}"/>
    <cellStyle name="Vírgula" xfId="1" builtinId="3"/>
    <cellStyle name="Vírgula 6" xfId="10" xr:uid="{00000000-0005-0000-0000-00000C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7E6E6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BDBDB"/>
      <rgbColor rgb="FFFFFF99"/>
      <rgbColor rgb="FFBDD7EE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38160</xdr:colOff>
      <xdr:row>0</xdr:row>
      <xdr:rowOff>38160</xdr:rowOff>
    </xdr:from>
    <xdr:to>
      <xdr:col>1</xdr:col>
      <xdr:colOff>1123200</xdr:colOff>
      <xdr:row>3</xdr:row>
      <xdr:rowOff>56520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1679400" cy="646920"/>
        </a:xfrm>
        <a:prstGeom prst="rect">
          <a:avLst/>
        </a:prstGeom>
        <a:ln w="936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13680</xdr:colOff>
      <xdr:row>0</xdr:row>
      <xdr:rowOff>27360</xdr:rowOff>
    </xdr:from>
    <xdr:to>
      <xdr:col>1</xdr:col>
      <xdr:colOff>561240</xdr:colOff>
      <xdr:row>1</xdr:row>
      <xdr:rowOff>184320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3680" y="27360"/>
          <a:ext cx="1605960" cy="537840"/>
        </a:xfrm>
        <a:prstGeom prst="rect">
          <a:avLst/>
        </a:prstGeom>
        <a:ln w="9360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g017sr\Users\leonel.galvao\Desktop\SRP%20PO&#199;OS%20LEONEL\Planilha%20Or&#231;ament&#225;ria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Resumo"/>
      <sheetName val="Preço Unitário"/>
      <sheetName val="Planilha Analitica"/>
      <sheetName val="Crograma Físico Financeiro"/>
      <sheetName val="CPU-Serviços Preliminares"/>
      <sheetName val="CPU-Perfuração"/>
      <sheetName val="CPU-Instalação"/>
      <sheetName val="CPU-Energia Solar"/>
      <sheetName val="Cotaçã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8">
          <cell r="H8">
            <v>23.75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mericanas.com.br/produto/29200646?epar=bp_pl_00_go_br_pmax_geral&amp;opn=YSMESP&amp;WT.srch=1&amp;gclid=CjwKCAiAvaGRBhBlEiwAiY-yMLAWrKvJWRgllg5iX4X7EoaxynhHsLNYafhCHADnbxK2SfCBvkgRiRoC_BgQAvD_BwE" TargetMode="External"/><Relationship Id="rId2" Type="http://schemas.openxmlformats.org/officeDocument/2006/relationships/hyperlink" Target="https://produto.mercadolivre.com.br/MLB-2093359741-hipoclorito-de-calcio-cloro-granulado-65-balde-azul-domclor-_JM?matt_tool=47780295&amp;matt_word=&amp;matt_source=google&amp;matt_campaign_id=14302215540&amp;matt_ad_group_id=134553704548&amp;matt_match_type=&amp;matt_network=g&amp;" TargetMode="External"/><Relationship Id="rId1" Type="http://schemas.openxmlformats.org/officeDocument/2006/relationships/hyperlink" Target="https://www.magazineluiza.com.br/cloro-de-piscinas-hth-10-em-1-granulado-multi-acao-hipoclorito-balde-10kg/p/hhbb8gee44/cj/clcp/?&amp;seller_id=lojaprapiscinas&amp;utm_source=bing&amp;utm_medium=pla&amp;utm_campaign=&amp;partner_id=65137&amp;gclsrc=aw.ds&amp;msclkid=10bac0914f2313b2" TargetMode="External"/><Relationship Id="rId4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30"/>
  <sheetViews>
    <sheetView zoomScaleNormal="100" workbookViewId="0">
      <selection activeCell="B1" sqref="B1"/>
    </sheetView>
  </sheetViews>
  <sheetFormatPr defaultColWidth="8.42578125" defaultRowHeight="15" x14ac:dyDescent="0.25"/>
  <cols>
    <col min="2" max="2" width="51.85546875" customWidth="1"/>
    <col min="3" max="3" width="15.140625" customWidth="1"/>
    <col min="5" max="5" width="6.85546875" customWidth="1"/>
    <col min="6" max="6" width="9.7109375" customWidth="1"/>
    <col min="7" max="7" width="7.85546875" customWidth="1"/>
    <col min="9" max="9" width="7.7109375" customWidth="1"/>
    <col min="10" max="10" width="9.5703125" customWidth="1"/>
    <col min="11" max="11" width="10.5703125" customWidth="1"/>
  </cols>
  <sheetData>
    <row r="2" spans="2:3" x14ac:dyDescent="0.25">
      <c r="B2" s="4" t="s">
        <v>0</v>
      </c>
      <c r="C2" s="5">
        <v>23.75</v>
      </c>
    </row>
    <row r="3" spans="2:3" x14ac:dyDescent="0.25">
      <c r="B3" s="6" t="s">
        <v>1</v>
      </c>
      <c r="C3" s="7">
        <v>112.15</v>
      </c>
    </row>
    <row r="4" spans="2:3" ht="54.75" customHeight="1" x14ac:dyDescent="0.25">
      <c r="B4" s="195" t="s">
        <v>2</v>
      </c>
      <c r="C4" s="195"/>
    </row>
    <row r="6" spans="2:3" x14ac:dyDescent="0.25">
      <c r="B6" s="196"/>
      <c r="C6" s="196"/>
    </row>
    <row r="7" spans="2:3" x14ac:dyDescent="0.25">
      <c r="B7" s="8" t="s">
        <v>3</v>
      </c>
      <c r="C7" s="2" t="s">
        <v>4</v>
      </c>
    </row>
    <row r="8" spans="2:3" x14ac:dyDescent="0.25">
      <c r="B8" s="197" t="s">
        <v>5</v>
      </c>
      <c r="C8" s="197"/>
    </row>
    <row r="9" spans="2:3" x14ac:dyDescent="0.25">
      <c r="B9" s="9" t="s">
        <v>6</v>
      </c>
      <c r="C9" s="10">
        <f>'Detalhamento Santa Rosa do PI'!G8</f>
        <v>4693.1399999999994</v>
      </c>
    </row>
    <row r="10" spans="2:3" x14ac:dyDescent="0.25">
      <c r="B10" s="9" t="s">
        <v>7</v>
      </c>
      <c r="C10" s="10">
        <f>'Detalhamento Santa Rosa do PI'!G19</f>
        <v>7193.95</v>
      </c>
    </row>
    <row r="11" spans="2:3" x14ac:dyDescent="0.25">
      <c r="B11" s="9" t="s">
        <v>8</v>
      </c>
      <c r="C11" s="10">
        <f>'Detalhamento Santa Rosa do PI'!G27</f>
        <v>4692.25</v>
      </c>
    </row>
    <row r="12" spans="2:3" x14ac:dyDescent="0.25">
      <c r="B12" s="9" t="s">
        <v>9</v>
      </c>
      <c r="C12" s="10">
        <f>'Detalhamento Santa Rosa do PI'!G35</f>
        <v>7652.9400000000005</v>
      </c>
    </row>
    <row r="13" spans="2:3" x14ac:dyDescent="0.25">
      <c r="B13" s="9" t="s">
        <v>10</v>
      </c>
      <c r="C13" s="10">
        <f>'Detalhamento Santa Rosa do PI'!G43</f>
        <v>4694.08</v>
      </c>
    </row>
    <row r="14" spans="2:3" x14ac:dyDescent="0.25">
      <c r="B14" s="9" t="s">
        <v>11</v>
      </c>
      <c r="C14" s="10">
        <f>'Detalhamento Santa Rosa do PI'!G51</f>
        <v>1496.3500000000001</v>
      </c>
    </row>
    <row r="15" spans="2:3" x14ac:dyDescent="0.25">
      <c r="B15" s="9" t="s">
        <v>12</v>
      </c>
      <c r="C15" s="10">
        <f>'Detalhamento Santa Rosa do PI'!G54</f>
        <v>15068.16</v>
      </c>
    </row>
    <row r="16" spans="2:3" x14ac:dyDescent="0.25">
      <c r="B16" s="9" t="s">
        <v>13</v>
      </c>
      <c r="C16" s="10">
        <f>'Detalhamento Santa Rosa do PI'!G55+'Detalhamento Santa Rosa do PI'!G56</f>
        <v>1695.5800000000002</v>
      </c>
    </row>
    <row r="17" spans="2:3" x14ac:dyDescent="0.25">
      <c r="B17" s="11" t="s">
        <v>14</v>
      </c>
      <c r="C17" s="10">
        <f>SUM(C16,C15,C14,C13,C12,C11,C10,C9)</f>
        <v>47186.45</v>
      </c>
    </row>
    <row r="18" spans="2:3" x14ac:dyDescent="0.25">
      <c r="B18" s="9"/>
      <c r="C18" s="10"/>
    </row>
    <row r="19" spans="2:3" x14ac:dyDescent="0.25">
      <c r="B19" s="198"/>
      <c r="C19" s="198"/>
    </row>
    <row r="20" spans="2:3" x14ac:dyDescent="0.25">
      <c r="B20" s="197" t="s">
        <v>15</v>
      </c>
      <c r="C20" s="197"/>
    </row>
    <row r="21" spans="2:3" x14ac:dyDescent="0.25">
      <c r="B21" s="9" t="s">
        <v>6</v>
      </c>
      <c r="C21" s="10">
        <f>'Detalhamento Colonia  Gurgueia'!G10</f>
        <v>11986.19</v>
      </c>
    </row>
    <row r="22" spans="2:3" x14ac:dyDescent="0.25">
      <c r="B22" s="9" t="s">
        <v>7</v>
      </c>
      <c r="C22" s="10">
        <f>'Detalhamento Colonia  Gurgueia'!G18</f>
        <v>4860.82</v>
      </c>
    </row>
    <row r="23" spans="2:3" x14ac:dyDescent="0.25">
      <c r="B23" s="9" t="s">
        <v>8</v>
      </c>
      <c r="C23" s="10">
        <f>'Detalhamento Colonia  Gurgueia'!G28</f>
        <v>13221.62</v>
      </c>
    </row>
    <row r="24" spans="2:3" x14ac:dyDescent="0.25">
      <c r="B24" s="9" t="s">
        <v>9</v>
      </c>
      <c r="C24" s="10">
        <f>'Detalhamento Colonia  Gurgueia'!G37</f>
        <v>8522.18</v>
      </c>
    </row>
    <row r="25" spans="2:3" x14ac:dyDescent="0.25">
      <c r="B25" s="9" t="s">
        <v>12</v>
      </c>
      <c r="C25" s="10">
        <f>'Detalhamento Colonia  Gurgueia'!G41</f>
        <v>26160</v>
      </c>
    </row>
    <row r="26" spans="2:3" x14ac:dyDescent="0.25">
      <c r="B26" s="9" t="s">
        <v>13</v>
      </c>
      <c r="C26" s="10">
        <f>'Detalhamento Colonia  Gurgueia'!G42+'Detalhamento Colonia  Gurgueia'!G43</f>
        <v>1159.98</v>
      </c>
    </row>
    <row r="27" spans="2:3" x14ac:dyDescent="0.25">
      <c r="B27" s="9" t="s">
        <v>16</v>
      </c>
      <c r="C27" s="10">
        <f>SUM(C21,C22,C23,C24,C25,C26)</f>
        <v>65910.790000000008</v>
      </c>
    </row>
    <row r="28" spans="2:3" x14ac:dyDescent="0.25">
      <c r="B28" s="9"/>
      <c r="C28" s="10"/>
    </row>
    <row r="29" spans="2:3" x14ac:dyDescent="0.25">
      <c r="B29" s="12"/>
      <c r="C29" s="12"/>
    </row>
    <row r="30" spans="2:3" x14ac:dyDescent="0.25">
      <c r="B30" s="9" t="s">
        <v>17</v>
      </c>
      <c r="C30" s="10">
        <f>SUM(C27,C17)</f>
        <v>113097.24</v>
      </c>
    </row>
  </sheetData>
  <mergeCells count="5">
    <mergeCell ref="B4:C4"/>
    <mergeCell ref="B6:C6"/>
    <mergeCell ref="B8:C8"/>
    <mergeCell ref="B19:C19"/>
    <mergeCell ref="B20:C20"/>
  </mergeCells>
  <pageMargins left="0.51180555555555496" right="0.51180555555555496" top="0.78749999999999998" bottom="0.78749999999999998" header="0.51180555555555496" footer="0.51180555555555496"/>
  <pageSetup paperSize="9" scale="105" firstPageNumber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4:I30"/>
  <sheetViews>
    <sheetView zoomScaleNormal="100" workbookViewId="0">
      <selection activeCell="E13" sqref="E13"/>
    </sheetView>
  </sheetViews>
  <sheetFormatPr defaultColWidth="8.42578125" defaultRowHeight="15" x14ac:dyDescent="0.25"/>
  <cols>
    <col min="2" max="3" width="12.42578125" customWidth="1"/>
    <col min="4" max="4" width="35.7109375" customWidth="1"/>
    <col min="6" max="6" width="17" customWidth="1"/>
    <col min="7" max="7" width="19.7109375" customWidth="1"/>
    <col min="8" max="8" width="14.42578125" customWidth="1"/>
    <col min="9" max="9" width="10.7109375" customWidth="1"/>
  </cols>
  <sheetData>
    <row r="4" spans="2:9" ht="33.75" x14ac:dyDescent="0.25">
      <c r="B4" s="21" t="s">
        <v>109</v>
      </c>
      <c r="C4" s="21" t="s">
        <v>75</v>
      </c>
      <c r="D4" s="22" t="s">
        <v>110</v>
      </c>
      <c r="E4" s="21" t="s">
        <v>23</v>
      </c>
      <c r="F4" s="23" t="s">
        <v>77</v>
      </c>
      <c r="G4" s="24" t="s">
        <v>78</v>
      </c>
      <c r="H4" s="25" t="s">
        <v>4</v>
      </c>
    </row>
    <row r="5" spans="2:9" x14ac:dyDescent="0.25">
      <c r="B5" s="26" t="s">
        <v>79</v>
      </c>
      <c r="C5" s="27" t="s">
        <v>111</v>
      </c>
      <c r="D5" s="28" t="s">
        <v>112</v>
      </c>
      <c r="E5" s="27" t="s">
        <v>23</v>
      </c>
      <c r="F5" s="29">
        <v>1</v>
      </c>
      <c r="G5" s="33">
        <v>570.04999999999995</v>
      </c>
      <c r="H5" s="31">
        <f>ROUND(F5*G5,2)</f>
        <v>570.04999999999995</v>
      </c>
    </row>
    <row r="6" spans="2:9" ht="33.75" x14ac:dyDescent="0.25">
      <c r="B6" s="26" t="s">
        <v>82</v>
      </c>
      <c r="C6" s="27">
        <v>39833</v>
      </c>
      <c r="D6" s="28" t="s">
        <v>113</v>
      </c>
      <c r="E6" s="27" t="s">
        <v>23</v>
      </c>
      <c r="F6" s="29">
        <v>1</v>
      </c>
      <c r="G6" s="33">
        <v>25.81</v>
      </c>
      <c r="H6" s="31">
        <f>ROUND(F6*G6,2)</f>
        <v>25.81</v>
      </c>
    </row>
    <row r="7" spans="2:9" x14ac:dyDescent="0.25">
      <c r="B7" s="48"/>
      <c r="C7" s="9"/>
      <c r="D7" s="28"/>
      <c r="E7" s="206" t="s">
        <v>93</v>
      </c>
      <c r="F7" s="206"/>
      <c r="G7" s="206"/>
      <c r="H7" s="37">
        <f>ROUND((SUM(H5:H6)),2)</f>
        <v>595.86</v>
      </c>
    </row>
    <row r="8" spans="2:9" x14ac:dyDescent="0.25">
      <c r="B8" s="49"/>
      <c r="C8" s="50"/>
      <c r="D8" s="51"/>
      <c r="E8" s="206" t="str">
        <f>"BDI ( " &amp;TEXT('[1]CPU-Instalação'!$H$8,"0,00") &amp;" ) %:"</f>
        <v>BDI ( 23,75 ) %:</v>
      </c>
      <c r="F8" s="206"/>
      <c r="G8" s="206"/>
      <c r="H8" s="39">
        <f>ROUND(H7*('[1]CPU-Instalação'!$H$8/100),2)</f>
        <v>141.52000000000001</v>
      </c>
    </row>
    <row r="9" spans="2:9" x14ac:dyDescent="0.25">
      <c r="B9" s="52"/>
      <c r="C9" s="53"/>
      <c r="D9" s="54"/>
      <c r="E9" s="207" t="s">
        <v>94</v>
      </c>
      <c r="F9" s="207"/>
      <c r="G9" s="207"/>
      <c r="H9" s="42">
        <f>ROUND(SUM(H7:H8),2)</f>
        <v>737.38</v>
      </c>
    </row>
    <row r="12" spans="2:9" ht="45" x14ac:dyDescent="0.25">
      <c r="B12" s="21" t="s">
        <v>114</v>
      </c>
      <c r="C12" s="21" t="s">
        <v>75</v>
      </c>
      <c r="D12" s="22" t="s">
        <v>115</v>
      </c>
      <c r="E12" s="21" t="s">
        <v>23</v>
      </c>
      <c r="F12" s="23" t="s">
        <v>77</v>
      </c>
      <c r="G12" s="24" t="s">
        <v>78</v>
      </c>
      <c r="H12" s="25" t="s">
        <v>4</v>
      </c>
    </row>
    <row r="13" spans="2:9" ht="56.25" x14ac:dyDescent="0.25">
      <c r="B13" s="26" t="s">
        <v>79</v>
      </c>
      <c r="C13" s="56">
        <v>90978</v>
      </c>
      <c r="D13" s="57" t="s">
        <v>116</v>
      </c>
      <c r="E13" s="27" t="s">
        <v>23</v>
      </c>
      <c r="F13" s="29">
        <v>1</v>
      </c>
      <c r="G13" s="30">
        <v>188.16</v>
      </c>
      <c r="H13" s="31">
        <f>G13*F13</f>
        <v>188.16</v>
      </c>
      <c r="I13" s="58"/>
    </row>
    <row r="14" spans="2:9" ht="22.5" x14ac:dyDescent="0.25">
      <c r="B14" s="26" t="s">
        <v>79</v>
      </c>
      <c r="C14" s="27">
        <v>88316</v>
      </c>
      <c r="D14" s="28" t="s">
        <v>81</v>
      </c>
      <c r="E14" s="34" t="s">
        <v>23</v>
      </c>
      <c r="F14" s="29">
        <v>1</v>
      </c>
      <c r="G14" s="30">
        <v>17.43</v>
      </c>
      <c r="H14" s="31">
        <f>G14*F14</f>
        <v>17.43</v>
      </c>
    </row>
    <row r="15" spans="2:9" ht="22.5" x14ac:dyDescent="0.25">
      <c r="B15" s="26" t="s">
        <v>79</v>
      </c>
      <c r="C15" s="27">
        <v>88292</v>
      </c>
      <c r="D15" s="28" t="s">
        <v>117</v>
      </c>
      <c r="E15" s="34" t="s">
        <v>23</v>
      </c>
      <c r="F15" s="29">
        <v>1</v>
      </c>
      <c r="G15" s="30">
        <v>23.53</v>
      </c>
      <c r="H15" s="31">
        <v>22.49</v>
      </c>
    </row>
    <row r="16" spans="2:9" x14ac:dyDescent="0.25">
      <c r="B16" s="26" t="s">
        <v>82</v>
      </c>
      <c r="C16" s="32" t="s">
        <v>83</v>
      </c>
      <c r="D16" s="28" t="s">
        <v>84</v>
      </c>
      <c r="E16" s="34" t="s">
        <v>85</v>
      </c>
      <c r="F16" s="29">
        <v>1</v>
      </c>
      <c r="G16" s="30">
        <v>7.63</v>
      </c>
      <c r="H16" s="31">
        <f>G16*F16</f>
        <v>7.63</v>
      </c>
    </row>
    <row r="17" spans="2:8" ht="33.75" x14ac:dyDescent="0.25">
      <c r="B17" s="26" t="s">
        <v>82</v>
      </c>
      <c r="C17" s="27">
        <v>4227</v>
      </c>
      <c r="D17" s="28" t="s">
        <v>86</v>
      </c>
      <c r="E17" s="34" t="s">
        <v>85</v>
      </c>
      <c r="F17" s="29">
        <v>5.0000000000000001E-3</v>
      </c>
      <c r="G17" s="30">
        <v>29.2</v>
      </c>
      <c r="H17" s="31">
        <f>G17*F17</f>
        <v>0.14599999999999999</v>
      </c>
    </row>
    <row r="18" spans="2:8" x14ac:dyDescent="0.25">
      <c r="B18" s="26" t="s">
        <v>82</v>
      </c>
      <c r="C18" s="27">
        <v>4229</v>
      </c>
      <c r="D18" s="28" t="s">
        <v>89</v>
      </c>
      <c r="E18" s="34" t="s">
        <v>90</v>
      </c>
      <c r="F18" s="35">
        <v>7.0000000000000007E-2</v>
      </c>
      <c r="G18" s="30">
        <v>42.87</v>
      </c>
      <c r="H18" s="31">
        <f>G18*F18</f>
        <v>3.0009000000000001</v>
      </c>
    </row>
    <row r="19" spans="2:8" x14ac:dyDescent="0.25">
      <c r="B19" s="36"/>
      <c r="E19" s="206" t="s">
        <v>93</v>
      </c>
      <c r="F19" s="206"/>
      <c r="G19" s="206"/>
      <c r="H19" s="37">
        <f>ROUND((SUM(H13:H18)),2)</f>
        <v>238.86</v>
      </c>
    </row>
    <row r="20" spans="2:8" x14ac:dyDescent="0.25">
      <c r="B20" s="38"/>
      <c r="E20" s="206" t="str">
        <f>"BDI ( " &amp;TEXT('[1]CPU-Instalação'!$H$8,"0,00") &amp;" ) %:"</f>
        <v>BDI ( 23,75 ) %:</v>
      </c>
      <c r="F20" s="206"/>
      <c r="G20" s="206"/>
      <c r="H20" s="39">
        <f>ROUND(H19*('[1]CPU-Instalação'!$H$8/100),2)</f>
        <v>56.73</v>
      </c>
    </row>
    <row r="21" spans="2:8" x14ac:dyDescent="0.25">
      <c r="B21" s="40"/>
      <c r="C21" s="41"/>
      <c r="D21" s="41"/>
      <c r="E21" s="207" t="s">
        <v>94</v>
      </c>
      <c r="F21" s="207"/>
      <c r="G21" s="207"/>
      <c r="H21" s="42">
        <f>ROUND(SUM(H19:H20),2)</f>
        <v>295.58999999999997</v>
      </c>
    </row>
    <row r="24" spans="2:8" ht="33.75" x14ac:dyDescent="0.25">
      <c r="B24" s="21" t="s">
        <v>118</v>
      </c>
      <c r="C24" s="21" t="s">
        <v>75</v>
      </c>
      <c r="D24" s="22" t="s">
        <v>308</v>
      </c>
      <c r="E24" s="21" t="s">
        <v>23</v>
      </c>
      <c r="F24" s="23" t="s">
        <v>77</v>
      </c>
      <c r="G24" s="24" t="s">
        <v>78</v>
      </c>
      <c r="H24" s="25" t="s">
        <v>4</v>
      </c>
    </row>
    <row r="25" spans="2:8" ht="22.5" x14ac:dyDescent="0.25">
      <c r="B25" s="26" t="s">
        <v>79</v>
      </c>
      <c r="C25" s="27">
        <v>88267</v>
      </c>
      <c r="D25" s="59" t="s">
        <v>119</v>
      </c>
      <c r="E25" s="60" t="s">
        <v>23</v>
      </c>
      <c r="F25" s="61">
        <v>1</v>
      </c>
      <c r="G25" s="62">
        <v>21.73</v>
      </c>
      <c r="H25" s="31">
        <f>F25*G25</f>
        <v>21.73</v>
      </c>
    </row>
    <row r="26" spans="2:8" ht="33.75" x14ac:dyDescent="0.25">
      <c r="B26" s="26" t="s">
        <v>79</v>
      </c>
      <c r="C26" s="27">
        <v>88248</v>
      </c>
      <c r="D26" s="59" t="s">
        <v>120</v>
      </c>
      <c r="E26" s="60" t="s">
        <v>23</v>
      </c>
      <c r="F26" s="61">
        <v>1</v>
      </c>
      <c r="G26" s="62">
        <v>17.7</v>
      </c>
      <c r="H26" s="31">
        <f>F26*G26</f>
        <v>17.7</v>
      </c>
    </row>
    <row r="27" spans="2:8" x14ac:dyDescent="0.25">
      <c r="B27" s="26"/>
      <c r="C27" s="27"/>
      <c r="D27" s="28"/>
      <c r="E27" s="27"/>
      <c r="F27" s="29"/>
      <c r="G27" s="33"/>
      <c r="H27" s="31"/>
    </row>
    <row r="28" spans="2:8" x14ac:dyDescent="0.25">
      <c r="B28" s="48"/>
      <c r="C28" s="9"/>
      <c r="D28" s="28"/>
      <c r="E28" s="206" t="s">
        <v>93</v>
      </c>
      <c r="F28" s="206"/>
      <c r="G28" s="206"/>
      <c r="H28" s="37">
        <f>ROUND((SUM(H25:H26)),2)</f>
        <v>39.43</v>
      </c>
    </row>
    <row r="29" spans="2:8" x14ac:dyDescent="0.25">
      <c r="B29" s="49"/>
      <c r="C29" s="50"/>
      <c r="D29" s="51"/>
      <c r="E29" s="206" t="str">
        <f>"BDI ( " &amp;TEXT('[1]CPU-Instalação'!$H$8,"0,00") &amp;" ) %:"</f>
        <v>BDI ( 23,75 ) %:</v>
      </c>
      <c r="F29" s="206"/>
      <c r="G29" s="206"/>
      <c r="H29" s="39">
        <f>ROUND(H28*('[1]CPU-Instalação'!$H$8/100),2)</f>
        <v>9.36</v>
      </c>
    </row>
    <row r="30" spans="2:8" x14ac:dyDescent="0.25">
      <c r="B30" s="52"/>
      <c r="C30" s="53"/>
      <c r="D30" s="54"/>
      <c r="E30" s="207" t="s">
        <v>94</v>
      </c>
      <c r="F30" s="207"/>
      <c r="G30" s="207"/>
      <c r="H30" s="42">
        <f>ROUND(SUM(H28:H29),2)</f>
        <v>48.79</v>
      </c>
    </row>
  </sheetData>
  <mergeCells count="9">
    <mergeCell ref="E21:G21"/>
    <mergeCell ref="E28:G28"/>
    <mergeCell ref="E29:G29"/>
    <mergeCell ref="E30:G30"/>
    <mergeCell ref="E7:G7"/>
    <mergeCell ref="E8:G8"/>
    <mergeCell ref="E9:G9"/>
    <mergeCell ref="E19:G19"/>
    <mergeCell ref="E20:G20"/>
  </mergeCells>
  <pageMargins left="0.51180555555555496" right="0.51180555555555496" top="0.78749999999999998" bottom="0.78749999999999998" header="0.51180555555555496" footer="0.51180555555555496"/>
  <pageSetup paperSize="9" scale="70" firstPageNumber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B4:H68"/>
  <sheetViews>
    <sheetView topLeftCell="A49" zoomScaleNormal="100" workbookViewId="0">
      <selection activeCell="K45" sqref="K45"/>
    </sheetView>
  </sheetViews>
  <sheetFormatPr defaultColWidth="8.42578125" defaultRowHeight="15" x14ac:dyDescent="0.25"/>
  <cols>
    <col min="2" max="2" width="15.7109375" customWidth="1"/>
    <col min="3" max="3" width="14" customWidth="1"/>
    <col min="4" max="4" width="38.5703125" customWidth="1"/>
    <col min="6" max="6" width="19.5703125" customWidth="1"/>
    <col min="7" max="7" width="23.85546875" customWidth="1"/>
    <col min="8" max="8" width="9.85546875" customWidth="1"/>
  </cols>
  <sheetData>
    <row r="4" spans="2:8" ht="22.5" x14ac:dyDescent="0.25">
      <c r="B4" s="63" t="s">
        <v>121</v>
      </c>
      <c r="C4" s="63" t="s">
        <v>75</v>
      </c>
      <c r="D4" s="22" t="s">
        <v>122</v>
      </c>
      <c r="E4" s="63" t="s">
        <v>123</v>
      </c>
      <c r="F4" s="64" t="s">
        <v>77</v>
      </c>
      <c r="G4" s="65" t="s">
        <v>78</v>
      </c>
      <c r="H4" s="66" t="s">
        <v>4</v>
      </c>
    </row>
    <row r="5" spans="2:8" x14ac:dyDescent="0.25">
      <c r="B5" s="67" t="s">
        <v>79</v>
      </c>
      <c r="C5" s="68">
        <v>88317</v>
      </c>
      <c r="D5" s="69" t="s">
        <v>124</v>
      </c>
      <c r="E5" s="68" t="s">
        <v>23</v>
      </c>
      <c r="F5" s="70">
        <v>0.13333</v>
      </c>
      <c r="G5" s="71">
        <v>23.04</v>
      </c>
      <c r="H5" s="72">
        <f>ROUND(F5*G5,2)</f>
        <v>3.07</v>
      </c>
    </row>
    <row r="6" spans="2:8" x14ac:dyDescent="0.25">
      <c r="B6" s="67" t="s">
        <v>79</v>
      </c>
      <c r="C6" s="34">
        <v>88316</v>
      </c>
      <c r="D6" s="69" t="s">
        <v>81</v>
      </c>
      <c r="E6" s="34" t="s">
        <v>23</v>
      </c>
      <c r="F6" s="70">
        <v>0.13333</v>
      </c>
      <c r="G6" s="71">
        <v>17.43</v>
      </c>
      <c r="H6" s="72">
        <f>ROUND(F6*G6,2)</f>
        <v>2.3199999999999998</v>
      </c>
    </row>
    <row r="7" spans="2:8" ht="22.5" x14ac:dyDescent="0.25">
      <c r="B7" s="73" t="s">
        <v>82</v>
      </c>
      <c r="C7" s="74">
        <v>10997</v>
      </c>
      <c r="D7" s="75" t="s">
        <v>125</v>
      </c>
      <c r="E7" s="74" t="s">
        <v>126</v>
      </c>
      <c r="F7" s="76">
        <v>0.38519999999999999</v>
      </c>
      <c r="G7" s="77">
        <v>31.88</v>
      </c>
      <c r="H7" s="78">
        <f>ROUND(F7*G7,2)</f>
        <v>12.28</v>
      </c>
    </row>
    <row r="8" spans="2:8" ht="56.25" x14ac:dyDescent="0.25">
      <c r="B8" s="73" t="s">
        <v>82</v>
      </c>
      <c r="C8" s="79">
        <v>38412</v>
      </c>
      <c r="D8" s="69" t="s">
        <v>127</v>
      </c>
      <c r="E8" s="34" t="s">
        <v>123</v>
      </c>
      <c r="F8" s="70">
        <v>6.6667000000000004E-2</v>
      </c>
      <c r="G8" s="80">
        <v>845</v>
      </c>
      <c r="H8" s="81">
        <f>ROUND(F8*G8,2)</f>
        <v>56.33</v>
      </c>
    </row>
    <row r="9" spans="2:8" x14ac:dyDescent="0.25">
      <c r="B9" s="73" t="s">
        <v>82</v>
      </c>
      <c r="C9" s="34">
        <v>1332</v>
      </c>
      <c r="D9" s="69" t="s">
        <v>128</v>
      </c>
      <c r="E9" s="34" t="s">
        <v>129</v>
      </c>
      <c r="F9" s="70">
        <v>1</v>
      </c>
      <c r="G9" s="71">
        <v>97.82</v>
      </c>
      <c r="H9" s="81">
        <f>ROUND(F9*G9,2)</f>
        <v>97.82</v>
      </c>
    </row>
    <row r="10" spans="2:8" x14ac:dyDescent="0.25">
      <c r="B10" s="36"/>
      <c r="E10" s="208" t="s">
        <v>93</v>
      </c>
      <c r="F10" s="208"/>
      <c r="G10" s="208"/>
      <c r="H10" s="37">
        <f>ROUND((SUM(H5:H9)),2)</f>
        <v>171.82</v>
      </c>
    </row>
    <row r="11" spans="2:8" x14ac:dyDescent="0.25">
      <c r="B11" s="38"/>
      <c r="E11" s="206" t="s">
        <v>130</v>
      </c>
      <c r="F11" s="206"/>
      <c r="G11" s="206"/>
      <c r="H11" s="39">
        <f>H10*23.75%</f>
        <v>40.807249999999996</v>
      </c>
    </row>
    <row r="12" spans="2:8" x14ac:dyDescent="0.25">
      <c r="B12" s="82"/>
      <c r="C12" s="83"/>
      <c r="D12" s="84"/>
      <c r="E12" s="206" t="s">
        <v>94</v>
      </c>
      <c r="F12" s="206"/>
      <c r="G12" s="206"/>
      <c r="H12" s="85">
        <f>ROUND(SUM(H10:H11),2)</f>
        <v>212.63</v>
      </c>
    </row>
    <row r="16" spans="2:8" ht="22.5" x14ac:dyDescent="0.25">
      <c r="B16" s="63" t="s">
        <v>131</v>
      </c>
      <c r="C16" s="63" t="s">
        <v>75</v>
      </c>
      <c r="D16" s="22" t="s">
        <v>132</v>
      </c>
      <c r="E16" s="63" t="s">
        <v>123</v>
      </c>
      <c r="F16" s="64" t="s">
        <v>77</v>
      </c>
      <c r="G16" s="65" t="s">
        <v>78</v>
      </c>
      <c r="H16" s="66" t="s">
        <v>4</v>
      </c>
    </row>
    <row r="17" spans="2:8" x14ac:dyDescent="0.25">
      <c r="B17" s="67" t="s">
        <v>79</v>
      </c>
      <c r="C17" s="68">
        <v>88317</v>
      </c>
      <c r="D17" s="69" t="s">
        <v>124</v>
      </c>
      <c r="E17" s="68" t="s">
        <v>23</v>
      </c>
      <c r="F17" s="70">
        <v>0.13333</v>
      </c>
      <c r="G17" s="71">
        <f>G5</f>
        <v>23.04</v>
      </c>
      <c r="H17" s="72">
        <f>ROUND(F17*G17,2)</f>
        <v>3.07</v>
      </c>
    </row>
    <row r="18" spans="2:8" x14ac:dyDescent="0.25">
      <c r="B18" s="67" t="s">
        <v>79</v>
      </c>
      <c r="C18" s="34">
        <v>88316</v>
      </c>
      <c r="D18" s="69" t="s">
        <v>81</v>
      </c>
      <c r="E18" s="34" t="s">
        <v>23</v>
      </c>
      <c r="F18" s="70">
        <v>0.13333</v>
      </c>
      <c r="G18" s="71">
        <f>G6</f>
        <v>17.43</v>
      </c>
      <c r="H18" s="72">
        <f>ROUND(F18*G18,2)</f>
        <v>2.3199999999999998</v>
      </c>
    </row>
    <row r="19" spans="2:8" ht="22.5" x14ac:dyDescent="0.25">
      <c r="B19" s="73" t="s">
        <v>82</v>
      </c>
      <c r="C19" s="74">
        <v>10997</v>
      </c>
      <c r="D19" s="75" t="s">
        <v>125</v>
      </c>
      <c r="E19" s="74" t="s">
        <v>126</v>
      </c>
      <c r="F19" s="76">
        <v>0.38519999999999999</v>
      </c>
      <c r="G19" s="77">
        <f>G7</f>
        <v>31.88</v>
      </c>
      <c r="H19" s="78">
        <f>ROUND(F19*G19,2)</f>
        <v>12.28</v>
      </c>
    </row>
    <row r="20" spans="2:8" ht="56.25" x14ac:dyDescent="0.25">
      <c r="B20" s="73" t="s">
        <v>82</v>
      </c>
      <c r="C20" s="79">
        <v>38412</v>
      </c>
      <c r="D20" s="69" t="s">
        <v>127</v>
      </c>
      <c r="E20" s="34" t="s">
        <v>123</v>
      </c>
      <c r="F20" s="70">
        <v>6.6667000000000004E-2</v>
      </c>
      <c r="G20" s="80">
        <f>G8</f>
        <v>845</v>
      </c>
      <c r="H20" s="81">
        <f>ROUND(F20*G20,2)</f>
        <v>56.33</v>
      </c>
    </row>
    <row r="21" spans="2:8" x14ac:dyDescent="0.25">
      <c r="B21" s="73" t="s">
        <v>82</v>
      </c>
      <c r="C21" s="34">
        <v>1332</v>
      </c>
      <c r="D21" s="69" t="s">
        <v>133</v>
      </c>
      <c r="E21" s="34" t="s">
        <v>129</v>
      </c>
      <c r="F21" s="70">
        <v>1</v>
      </c>
      <c r="G21" s="71">
        <v>104.33</v>
      </c>
      <c r="H21" s="81">
        <f>ROUND(F21*G21,2)</f>
        <v>104.33</v>
      </c>
    </row>
    <row r="22" spans="2:8" x14ac:dyDescent="0.25">
      <c r="B22" s="36"/>
      <c r="E22" s="208" t="s">
        <v>93</v>
      </c>
      <c r="F22" s="208"/>
      <c r="G22" s="208"/>
      <c r="H22" s="37">
        <f>ROUND((SUM(H17:H21)),2)</f>
        <v>178.33</v>
      </c>
    </row>
    <row r="23" spans="2:8" x14ac:dyDescent="0.25">
      <c r="B23" s="38"/>
      <c r="E23" s="206" t="s">
        <v>130</v>
      </c>
      <c r="F23" s="206"/>
      <c r="G23" s="206"/>
      <c r="H23" s="39">
        <f>H22*23.75%</f>
        <v>42.353375</v>
      </c>
    </row>
    <row r="24" spans="2:8" x14ac:dyDescent="0.25">
      <c r="B24" s="82"/>
      <c r="C24" s="83"/>
      <c r="D24" s="84"/>
      <c r="E24" s="206" t="s">
        <v>94</v>
      </c>
      <c r="F24" s="206"/>
      <c r="G24" s="206"/>
      <c r="H24" s="85">
        <f>ROUND(SUM(H22:H23),2)</f>
        <v>220.68</v>
      </c>
    </row>
    <row r="27" spans="2:8" ht="22.5" x14ac:dyDescent="0.25">
      <c r="B27" s="63" t="s">
        <v>134</v>
      </c>
      <c r="C27" s="63" t="s">
        <v>75</v>
      </c>
      <c r="D27" s="22" t="s">
        <v>135</v>
      </c>
      <c r="E27" s="63" t="s">
        <v>123</v>
      </c>
      <c r="F27" s="64" t="s">
        <v>77</v>
      </c>
      <c r="G27" s="65" t="s">
        <v>78</v>
      </c>
      <c r="H27" s="66" t="s">
        <v>4</v>
      </c>
    </row>
    <row r="28" spans="2:8" x14ac:dyDescent="0.25">
      <c r="B28" s="67" t="s">
        <v>79</v>
      </c>
      <c r="C28" s="68">
        <v>88317</v>
      </c>
      <c r="D28" s="69" t="s">
        <v>124</v>
      </c>
      <c r="E28" s="68" t="s">
        <v>23</v>
      </c>
      <c r="F28" s="70">
        <v>0.13333</v>
      </c>
      <c r="G28" s="71">
        <f>G5</f>
        <v>23.04</v>
      </c>
      <c r="H28" s="72">
        <f>ROUND(F28*G28,2)</f>
        <v>3.07</v>
      </c>
    </row>
    <row r="29" spans="2:8" x14ac:dyDescent="0.25">
      <c r="B29" s="67" t="s">
        <v>79</v>
      </c>
      <c r="C29" s="34">
        <v>88316</v>
      </c>
      <c r="D29" s="69" t="s">
        <v>81</v>
      </c>
      <c r="E29" s="34" t="s">
        <v>23</v>
      </c>
      <c r="F29" s="70">
        <v>0.13333</v>
      </c>
      <c r="G29" s="71">
        <f>G6</f>
        <v>17.43</v>
      </c>
      <c r="H29" s="72">
        <f>ROUND(F29*G29,2)</f>
        <v>2.3199999999999998</v>
      </c>
    </row>
    <row r="30" spans="2:8" ht="22.5" x14ac:dyDescent="0.25">
      <c r="B30" s="73" t="s">
        <v>82</v>
      </c>
      <c r="C30" s="74">
        <v>10997</v>
      </c>
      <c r="D30" s="75" t="s">
        <v>125</v>
      </c>
      <c r="E30" s="74" t="s">
        <v>126</v>
      </c>
      <c r="F30" s="76">
        <v>0.38519999999999999</v>
      </c>
      <c r="G30" s="77">
        <f>G7</f>
        <v>31.88</v>
      </c>
      <c r="H30" s="78">
        <f>ROUND(F30*G30,2)</f>
        <v>12.28</v>
      </c>
    </row>
    <row r="31" spans="2:8" ht="56.25" x14ac:dyDescent="0.25">
      <c r="B31" s="73" t="s">
        <v>82</v>
      </c>
      <c r="C31" s="79">
        <v>38412</v>
      </c>
      <c r="D31" s="69" t="s">
        <v>127</v>
      </c>
      <c r="E31" s="34" t="s">
        <v>123</v>
      </c>
      <c r="F31" s="70">
        <v>6.6667000000000004E-2</v>
      </c>
      <c r="G31" s="80">
        <f>G8</f>
        <v>845</v>
      </c>
      <c r="H31" s="81">
        <f>ROUND(F31*G31,2)</f>
        <v>56.33</v>
      </c>
    </row>
    <row r="32" spans="2:8" x14ac:dyDescent="0.25">
      <c r="B32" s="73" t="s">
        <v>82</v>
      </c>
      <c r="C32" s="34">
        <v>1332</v>
      </c>
      <c r="D32" s="69" t="s">
        <v>136</v>
      </c>
      <c r="E32" s="34" t="s">
        <v>123</v>
      </c>
      <c r="F32" s="70">
        <v>1</v>
      </c>
      <c r="G32" s="71">
        <v>130.47</v>
      </c>
      <c r="H32" s="81">
        <f>ROUND(F32*G32,2)</f>
        <v>130.47</v>
      </c>
    </row>
    <row r="33" spans="2:8" x14ac:dyDescent="0.25">
      <c r="B33" s="36"/>
      <c r="E33" s="208" t="s">
        <v>93</v>
      </c>
      <c r="F33" s="208"/>
      <c r="G33" s="208"/>
      <c r="H33" s="37">
        <f>ROUND((SUM(H28:H32)),2)</f>
        <v>204.47</v>
      </c>
    </row>
    <row r="34" spans="2:8" x14ac:dyDescent="0.25">
      <c r="B34" s="38"/>
      <c r="E34" s="206" t="s">
        <v>130</v>
      </c>
      <c r="F34" s="206"/>
      <c r="G34" s="206"/>
      <c r="H34" s="39">
        <f>H33*23.75%</f>
        <v>48.561624999999999</v>
      </c>
    </row>
    <row r="35" spans="2:8" x14ac:dyDescent="0.25">
      <c r="B35" s="82"/>
      <c r="C35" s="83"/>
      <c r="D35" s="84"/>
      <c r="E35" s="206" t="s">
        <v>94</v>
      </c>
      <c r="F35" s="206"/>
      <c r="G35" s="206"/>
      <c r="H35" s="85">
        <f>ROUND(SUM(H33:H34),2)</f>
        <v>253.03</v>
      </c>
    </row>
    <row r="38" spans="2:8" ht="22.5" x14ac:dyDescent="0.25">
      <c r="B38" s="63" t="s">
        <v>137</v>
      </c>
      <c r="C38" s="63" t="s">
        <v>75</v>
      </c>
      <c r="D38" s="22" t="s">
        <v>138</v>
      </c>
      <c r="E38" s="63" t="s">
        <v>123</v>
      </c>
      <c r="F38" s="64" t="s">
        <v>77</v>
      </c>
      <c r="G38" s="65" t="s">
        <v>78</v>
      </c>
      <c r="H38" s="66" t="s">
        <v>4</v>
      </c>
    </row>
    <row r="39" spans="2:8" x14ac:dyDescent="0.25">
      <c r="B39" s="67" t="s">
        <v>79</v>
      </c>
      <c r="C39" s="68">
        <v>88317</v>
      </c>
      <c r="D39" s="69" t="s">
        <v>124</v>
      </c>
      <c r="E39" s="68" t="s">
        <v>23</v>
      </c>
      <c r="F39" s="70">
        <v>0.13333</v>
      </c>
      <c r="G39" s="71">
        <f>G5</f>
        <v>23.04</v>
      </c>
      <c r="H39" s="72">
        <f>ROUND(F39*G39,2)</f>
        <v>3.07</v>
      </c>
    </row>
    <row r="40" spans="2:8" x14ac:dyDescent="0.25">
      <c r="B40" s="67" t="s">
        <v>79</v>
      </c>
      <c r="C40" s="34">
        <v>88316</v>
      </c>
      <c r="D40" s="69" t="s">
        <v>81</v>
      </c>
      <c r="E40" s="34" t="s">
        <v>23</v>
      </c>
      <c r="F40" s="70">
        <v>0.13333</v>
      </c>
      <c r="G40" s="71">
        <f>G6</f>
        <v>17.43</v>
      </c>
      <c r="H40" s="72">
        <f>ROUND(F40*G40,2)</f>
        <v>2.3199999999999998</v>
      </c>
    </row>
    <row r="41" spans="2:8" ht="22.5" x14ac:dyDescent="0.25">
      <c r="B41" s="73" t="s">
        <v>82</v>
      </c>
      <c r="C41" s="74">
        <v>10997</v>
      </c>
      <c r="D41" s="75" t="s">
        <v>125</v>
      </c>
      <c r="E41" s="74" t="s">
        <v>126</v>
      </c>
      <c r="F41" s="76">
        <v>0.38519999999999999</v>
      </c>
      <c r="G41" s="77">
        <f>G7</f>
        <v>31.88</v>
      </c>
      <c r="H41" s="78">
        <f>ROUND(F41*G41,2)</f>
        <v>12.28</v>
      </c>
    </row>
    <row r="42" spans="2:8" ht="56.25" x14ac:dyDescent="0.25">
      <c r="B42" s="73" t="s">
        <v>82</v>
      </c>
      <c r="C42" s="79">
        <v>38412</v>
      </c>
      <c r="D42" s="69" t="s">
        <v>127</v>
      </c>
      <c r="E42" s="34" t="s">
        <v>123</v>
      </c>
      <c r="F42" s="70">
        <v>6.6667000000000004E-2</v>
      </c>
      <c r="G42" s="80">
        <f>G8</f>
        <v>845</v>
      </c>
      <c r="H42" s="81">
        <f>ROUND(F42*G42,2)</f>
        <v>56.33</v>
      </c>
    </row>
    <row r="43" spans="2:8" x14ac:dyDescent="0.25">
      <c r="B43" s="73" t="s">
        <v>82</v>
      </c>
      <c r="C43" s="34">
        <v>1332</v>
      </c>
      <c r="D43" s="69" t="s">
        <v>139</v>
      </c>
      <c r="E43" s="34" t="s">
        <v>123</v>
      </c>
      <c r="F43" s="70">
        <v>1</v>
      </c>
      <c r="G43" s="71">
        <v>293.73</v>
      </c>
      <c r="H43" s="81">
        <f>ROUND(F43*G43,2)</f>
        <v>293.73</v>
      </c>
    </row>
    <row r="44" spans="2:8" x14ac:dyDescent="0.25">
      <c r="B44" s="36"/>
      <c r="E44" s="208" t="s">
        <v>93</v>
      </c>
      <c r="F44" s="208"/>
      <c r="G44" s="208"/>
      <c r="H44" s="37">
        <f>ROUND((SUM(H39:H43)),2)</f>
        <v>367.73</v>
      </c>
    </row>
    <row r="45" spans="2:8" x14ac:dyDescent="0.25">
      <c r="B45" s="38"/>
      <c r="E45" s="206" t="s">
        <v>130</v>
      </c>
      <c r="F45" s="206"/>
      <c r="G45" s="206"/>
      <c r="H45" s="39">
        <f>H44*23.75%</f>
        <v>87.335875000000001</v>
      </c>
    </row>
    <row r="46" spans="2:8" x14ac:dyDescent="0.25">
      <c r="B46" s="82"/>
      <c r="C46" s="83"/>
      <c r="D46" s="84"/>
      <c r="E46" s="206" t="s">
        <v>94</v>
      </c>
      <c r="F46" s="206"/>
      <c r="G46" s="206"/>
      <c r="H46" s="85">
        <f>ROUND(SUM(H44:H45),2)</f>
        <v>455.07</v>
      </c>
    </row>
    <row r="49" spans="2:8" ht="22.5" x14ac:dyDescent="0.25">
      <c r="B49" s="63" t="s">
        <v>140</v>
      </c>
      <c r="C49" s="63" t="s">
        <v>75</v>
      </c>
      <c r="D49" s="22" t="s">
        <v>141</v>
      </c>
      <c r="E49" s="63" t="s">
        <v>123</v>
      </c>
      <c r="F49" s="64" t="s">
        <v>77</v>
      </c>
      <c r="G49" s="65" t="s">
        <v>78</v>
      </c>
      <c r="H49" s="66" t="s">
        <v>4</v>
      </c>
    </row>
    <row r="50" spans="2:8" x14ac:dyDescent="0.25">
      <c r="B50" s="67" t="s">
        <v>79</v>
      </c>
      <c r="C50" s="68">
        <v>88317</v>
      </c>
      <c r="D50" s="69" t="s">
        <v>124</v>
      </c>
      <c r="E50" s="68" t="s">
        <v>23</v>
      </c>
      <c r="F50" s="70">
        <v>0.13333</v>
      </c>
      <c r="G50" s="71">
        <f>G17</f>
        <v>23.04</v>
      </c>
      <c r="H50" s="72">
        <f>ROUND(F50*G50,2)</f>
        <v>3.07</v>
      </c>
    </row>
    <row r="51" spans="2:8" x14ac:dyDescent="0.25">
      <c r="B51" s="67" t="s">
        <v>79</v>
      </c>
      <c r="C51" s="34">
        <v>88316</v>
      </c>
      <c r="D51" s="69" t="s">
        <v>81</v>
      </c>
      <c r="E51" s="34" t="s">
        <v>23</v>
      </c>
      <c r="F51" s="70">
        <v>0.13333</v>
      </c>
      <c r="G51" s="71">
        <f>G18</f>
        <v>17.43</v>
      </c>
      <c r="H51" s="72">
        <f>ROUND(F51*G51,2)</f>
        <v>2.3199999999999998</v>
      </c>
    </row>
    <row r="52" spans="2:8" ht="22.5" x14ac:dyDescent="0.25">
      <c r="B52" s="73" t="s">
        <v>82</v>
      </c>
      <c r="C52" s="74">
        <v>10997</v>
      </c>
      <c r="D52" s="75" t="s">
        <v>125</v>
      </c>
      <c r="E52" s="74" t="s">
        <v>126</v>
      </c>
      <c r="F52" s="76">
        <v>0.38519999999999999</v>
      </c>
      <c r="G52" s="77">
        <f>G19</f>
        <v>31.88</v>
      </c>
      <c r="H52" s="78">
        <f>ROUND(F52*G52,2)</f>
        <v>12.28</v>
      </c>
    </row>
    <row r="53" spans="2:8" ht="56.25" x14ac:dyDescent="0.25">
      <c r="B53" s="73" t="s">
        <v>82</v>
      </c>
      <c r="C53" s="79">
        <v>38412</v>
      </c>
      <c r="D53" s="69" t="s">
        <v>127</v>
      </c>
      <c r="E53" s="34" t="s">
        <v>123</v>
      </c>
      <c r="F53" s="70">
        <v>6.6667000000000004E-2</v>
      </c>
      <c r="G53" s="80">
        <f>G20</f>
        <v>845</v>
      </c>
      <c r="H53" s="81">
        <f>ROUND(F53*G53,2)</f>
        <v>56.33</v>
      </c>
    </row>
    <row r="54" spans="2:8" ht="22.5" x14ac:dyDescent="0.25">
      <c r="B54" s="73" t="s">
        <v>82</v>
      </c>
      <c r="C54" s="34">
        <v>1332</v>
      </c>
      <c r="D54" s="69" t="s">
        <v>142</v>
      </c>
      <c r="E54" s="34" t="s">
        <v>126</v>
      </c>
      <c r="F54" s="70">
        <v>37.344999999999999</v>
      </c>
      <c r="G54" s="71">
        <v>13.16</v>
      </c>
      <c r="H54" s="81">
        <f>ROUND(F54*G54,2)</f>
        <v>491.46</v>
      </c>
    </row>
    <row r="55" spans="2:8" x14ac:dyDescent="0.25">
      <c r="B55" s="36"/>
      <c r="E55" s="208" t="s">
        <v>93</v>
      </c>
      <c r="F55" s="208"/>
      <c r="G55" s="208"/>
      <c r="H55" s="37">
        <f>ROUND((SUM(H50:H54)),2)</f>
        <v>565.46</v>
      </c>
    </row>
    <row r="56" spans="2:8" x14ac:dyDescent="0.25">
      <c r="B56" s="38"/>
      <c r="E56" s="206" t="s">
        <v>130</v>
      </c>
      <c r="F56" s="206"/>
      <c r="G56" s="206"/>
      <c r="H56" s="39">
        <f>H55*23.75%</f>
        <v>134.29675</v>
      </c>
    </row>
    <row r="57" spans="2:8" x14ac:dyDescent="0.25">
      <c r="B57" s="82"/>
      <c r="C57" s="83"/>
      <c r="D57" s="84"/>
      <c r="E57" s="206" t="s">
        <v>94</v>
      </c>
      <c r="F57" s="206"/>
      <c r="G57" s="206"/>
      <c r="H57" s="85">
        <f>ROUND(SUM(H55:H56),2)</f>
        <v>699.76</v>
      </c>
    </row>
    <row r="60" spans="2:8" ht="22.5" x14ac:dyDescent="0.25">
      <c r="B60" s="63" t="s">
        <v>143</v>
      </c>
      <c r="C60" s="63" t="s">
        <v>75</v>
      </c>
      <c r="D60" s="22" t="s">
        <v>144</v>
      </c>
      <c r="E60" s="63" t="s">
        <v>123</v>
      </c>
      <c r="F60" s="64" t="s">
        <v>77</v>
      </c>
      <c r="G60" s="65" t="s">
        <v>78</v>
      </c>
      <c r="H60" s="66" t="s">
        <v>4</v>
      </c>
    </row>
    <row r="61" spans="2:8" x14ac:dyDescent="0.25">
      <c r="B61" s="67" t="s">
        <v>79</v>
      </c>
      <c r="C61" s="68">
        <v>88317</v>
      </c>
      <c r="D61" s="69" t="s">
        <v>124</v>
      </c>
      <c r="E61" s="68" t="s">
        <v>23</v>
      </c>
      <c r="F61" s="70">
        <v>0.13333</v>
      </c>
      <c r="G61" s="71">
        <f>G28</f>
        <v>23.04</v>
      </c>
      <c r="H61" s="72">
        <f>ROUND(F61*G61,2)</f>
        <v>3.07</v>
      </c>
    </row>
    <row r="62" spans="2:8" x14ac:dyDescent="0.25">
      <c r="B62" s="67" t="s">
        <v>79</v>
      </c>
      <c r="C62" s="34">
        <v>88316</v>
      </c>
      <c r="D62" s="69" t="s">
        <v>81</v>
      </c>
      <c r="E62" s="34" t="s">
        <v>23</v>
      </c>
      <c r="F62" s="70">
        <v>0.13333</v>
      </c>
      <c r="G62" s="71">
        <f>G29</f>
        <v>17.43</v>
      </c>
      <c r="H62" s="72">
        <f>ROUND(F62*G62,2)</f>
        <v>2.3199999999999998</v>
      </c>
    </row>
    <row r="63" spans="2:8" ht="22.5" x14ac:dyDescent="0.25">
      <c r="B63" s="73" t="s">
        <v>82</v>
      </c>
      <c r="C63" s="74">
        <v>10997</v>
      </c>
      <c r="D63" s="75" t="s">
        <v>125</v>
      </c>
      <c r="E63" s="74" t="s">
        <v>126</v>
      </c>
      <c r="F63" s="76">
        <v>0.38519999999999999</v>
      </c>
      <c r="G63" s="77">
        <f>G30</f>
        <v>31.88</v>
      </c>
      <c r="H63" s="78">
        <f>ROUND(F63*G63,2)</f>
        <v>12.28</v>
      </c>
    </row>
    <row r="64" spans="2:8" ht="56.25" x14ac:dyDescent="0.25">
      <c r="B64" s="73" t="s">
        <v>82</v>
      </c>
      <c r="C64" s="79">
        <v>38412</v>
      </c>
      <c r="D64" s="69" t="s">
        <v>127</v>
      </c>
      <c r="E64" s="34" t="s">
        <v>123</v>
      </c>
      <c r="F64" s="70">
        <v>6.6667000000000004E-2</v>
      </c>
      <c r="G64" s="80">
        <f>G31</f>
        <v>845</v>
      </c>
      <c r="H64" s="81">
        <f>ROUND(F64*G64,2)</f>
        <v>56.33</v>
      </c>
    </row>
    <row r="65" spans="2:8" ht="22.5" x14ac:dyDescent="0.25">
      <c r="B65" s="73" t="s">
        <v>82</v>
      </c>
      <c r="C65" s="34">
        <v>1332</v>
      </c>
      <c r="D65" s="69" t="s">
        <v>142</v>
      </c>
      <c r="E65" s="34" t="s">
        <v>126</v>
      </c>
      <c r="F65" s="70">
        <v>37.344999999999999</v>
      </c>
      <c r="G65" s="71">
        <v>13.16</v>
      </c>
      <c r="H65" s="81">
        <f>ROUND(F65*G65,2)</f>
        <v>491.46</v>
      </c>
    </row>
    <row r="66" spans="2:8" x14ac:dyDescent="0.25">
      <c r="B66" s="36"/>
      <c r="E66" s="208" t="s">
        <v>93</v>
      </c>
      <c r="F66" s="208"/>
      <c r="G66" s="208"/>
      <c r="H66" s="37">
        <f>ROUND((SUM(H61:H65)),2)</f>
        <v>565.46</v>
      </c>
    </row>
    <row r="67" spans="2:8" x14ac:dyDescent="0.25">
      <c r="B67" s="38"/>
      <c r="E67" s="206" t="s">
        <v>130</v>
      </c>
      <c r="F67" s="206"/>
      <c r="G67" s="206"/>
      <c r="H67" s="39">
        <f>H66*23.75%</f>
        <v>134.29675</v>
      </c>
    </row>
    <row r="68" spans="2:8" x14ac:dyDescent="0.25">
      <c r="B68" s="82"/>
      <c r="C68" s="83"/>
      <c r="D68" s="84"/>
      <c r="E68" s="206" t="s">
        <v>94</v>
      </c>
      <c r="F68" s="206"/>
      <c r="G68" s="206"/>
      <c r="H68" s="85">
        <f>ROUND(SUM(H66:H67),2)</f>
        <v>699.76</v>
      </c>
    </row>
  </sheetData>
  <mergeCells count="18">
    <mergeCell ref="E10:G10"/>
    <mergeCell ref="E11:G11"/>
    <mergeCell ref="E12:G12"/>
    <mergeCell ref="E22:G22"/>
    <mergeCell ref="E23:G23"/>
    <mergeCell ref="E24:G24"/>
    <mergeCell ref="E33:G33"/>
    <mergeCell ref="E34:G34"/>
    <mergeCell ref="E35:G35"/>
    <mergeCell ref="E44:G44"/>
    <mergeCell ref="E66:G66"/>
    <mergeCell ref="E67:G67"/>
    <mergeCell ref="E68:G68"/>
    <mergeCell ref="E45:G45"/>
    <mergeCell ref="E46:G46"/>
    <mergeCell ref="E55:G55"/>
    <mergeCell ref="E56:G56"/>
    <mergeCell ref="E57:G57"/>
  </mergeCells>
  <pageMargins left="0.51180555555555496" right="0.51180555555555496" top="0.78749999999999998" bottom="0.78749999999999998" header="0.51180555555555496" footer="0.51180555555555496"/>
  <pageSetup scale="60" firstPageNumber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4:H8"/>
  <sheetViews>
    <sheetView zoomScaleNormal="100" workbookViewId="0">
      <selection activeCell="B5" sqref="B5"/>
    </sheetView>
  </sheetViews>
  <sheetFormatPr defaultColWidth="8.42578125" defaultRowHeight="15" x14ac:dyDescent="0.25"/>
  <cols>
    <col min="2" max="2" width="13.85546875" customWidth="1"/>
    <col min="3" max="3" width="13.140625" customWidth="1"/>
    <col min="4" max="4" width="41.28515625" customWidth="1"/>
    <col min="6" max="6" width="18.7109375" customWidth="1"/>
    <col min="7" max="7" width="21.7109375" customWidth="1"/>
    <col min="8" max="8" width="15.7109375" customWidth="1"/>
  </cols>
  <sheetData>
    <row r="4" spans="2:8" ht="33.75" x14ac:dyDescent="0.25">
      <c r="B4" s="63" t="s">
        <v>145</v>
      </c>
      <c r="C4" s="63" t="s">
        <v>75</v>
      </c>
      <c r="D4" s="22" t="s">
        <v>146</v>
      </c>
      <c r="E4" s="63" t="s">
        <v>123</v>
      </c>
      <c r="F4" s="64" t="s">
        <v>77</v>
      </c>
      <c r="G4" s="65" t="s">
        <v>78</v>
      </c>
      <c r="H4" s="66" t="s">
        <v>4</v>
      </c>
    </row>
    <row r="5" spans="2:8" ht="33.75" x14ac:dyDescent="0.25">
      <c r="B5" s="67" t="s">
        <v>79</v>
      </c>
      <c r="C5" s="34" t="s">
        <v>147</v>
      </c>
      <c r="D5" s="28" t="s">
        <v>148</v>
      </c>
      <c r="E5" s="34" t="s">
        <v>149</v>
      </c>
      <c r="F5" s="35">
        <v>1</v>
      </c>
      <c r="G5" s="33">
        <v>524.83000000000004</v>
      </c>
      <c r="H5" s="72">
        <f>ROUND(F5*G5,2)</f>
        <v>524.83000000000004</v>
      </c>
    </row>
    <row r="6" spans="2:8" x14ac:dyDescent="0.25">
      <c r="B6" s="36"/>
      <c r="E6" s="206" t="s">
        <v>93</v>
      </c>
      <c r="F6" s="206"/>
      <c r="G6" s="206"/>
      <c r="H6" s="37">
        <f>ROUND((SUM(H5:H5)),2)</f>
        <v>524.83000000000004</v>
      </c>
    </row>
    <row r="7" spans="2:8" x14ac:dyDescent="0.25">
      <c r="B7" s="38"/>
      <c r="E7" s="206" t="s">
        <v>130</v>
      </c>
      <c r="F7" s="206"/>
      <c r="G7" s="206"/>
      <c r="H7" s="39">
        <f>H6*23.75%</f>
        <v>124.647125</v>
      </c>
    </row>
    <row r="8" spans="2:8" x14ac:dyDescent="0.25">
      <c r="B8" s="82"/>
      <c r="C8" s="83"/>
      <c r="D8" s="84"/>
      <c r="E8" s="206" t="s">
        <v>94</v>
      </c>
      <c r="F8" s="206"/>
      <c r="G8" s="206"/>
      <c r="H8" s="85">
        <f>ROUND(SUM(H6:H7),2)</f>
        <v>649.48</v>
      </c>
    </row>
  </sheetData>
  <mergeCells count="3">
    <mergeCell ref="E6:G6"/>
    <mergeCell ref="E7:G7"/>
    <mergeCell ref="E8:G8"/>
  </mergeCells>
  <pageMargins left="0.51180555555555496" right="0.51180555555555496" top="0.78749999999999998" bottom="0.78749999999999998" header="0.51180555555555496" footer="0.51180555555555496"/>
  <pageSetup paperSize="9" scale="90" firstPageNumber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4:H11"/>
  <sheetViews>
    <sheetView zoomScaleNormal="100" workbookViewId="0">
      <selection activeCell="B5" sqref="B5"/>
    </sheetView>
  </sheetViews>
  <sheetFormatPr defaultColWidth="8.42578125" defaultRowHeight="15" x14ac:dyDescent="0.25"/>
  <cols>
    <col min="2" max="2" width="13.7109375" customWidth="1"/>
    <col min="3" max="3" width="13" customWidth="1"/>
    <col min="4" max="4" width="44.42578125" customWidth="1"/>
    <col min="6" max="6" width="18.7109375" customWidth="1"/>
    <col min="7" max="7" width="20.85546875" customWidth="1"/>
    <col min="8" max="8" width="9.85546875" customWidth="1"/>
  </cols>
  <sheetData>
    <row r="4" spans="2:8" ht="33.75" x14ac:dyDescent="0.25">
      <c r="B4" s="63" t="s">
        <v>150</v>
      </c>
      <c r="C4" s="63" t="s">
        <v>75</v>
      </c>
      <c r="D4" s="22" t="s">
        <v>151</v>
      </c>
      <c r="E4" s="63" t="s">
        <v>49</v>
      </c>
      <c r="F4" s="64" t="s">
        <v>77</v>
      </c>
      <c r="G4" s="65" t="s">
        <v>78</v>
      </c>
      <c r="H4" s="66" t="s">
        <v>4</v>
      </c>
    </row>
    <row r="5" spans="2:8" ht="22.5" x14ac:dyDescent="0.25">
      <c r="B5" s="67" t="s">
        <v>97</v>
      </c>
      <c r="C5" s="34">
        <v>90776</v>
      </c>
      <c r="D5" s="28" t="s">
        <v>152</v>
      </c>
      <c r="E5" s="34" t="s">
        <v>23</v>
      </c>
      <c r="F5" s="35">
        <v>0.7</v>
      </c>
      <c r="G5" s="33">
        <v>28.18</v>
      </c>
      <c r="H5" s="72">
        <f>ROUND(F5*G5,2)</f>
        <v>19.73</v>
      </c>
    </row>
    <row r="6" spans="2:8" x14ac:dyDescent="0.25">
      <c r="B6" s="67" t="s">
        <v>97</v>
      </c>
      <c r="C6" s="34">
        <v>88316</v>
      </c>
      <c r="D6" s="28" t="s">
        <v>81</v>
      </c>
      <c r="E6" s="34" t="s">
        <v>23</v>
      </c>
      <c r="F6" s="35">
        <v>0.7</v>
      </c>
      <c r="G6" s="33">
        <v>17.43</v>
      </c>
      <c r="H6" s="72">
        <f>ROUND(F6*G6,2)</f>
        <v>12.2</v>
      </c>
    </row>
    <row r="7" spans="2:8" ht="22.5" x14ac:dyDescent="0.25">
      <c r="B7" s="67" t="s">
        <v>82</v>
      </c>
      <c r="C7" s="86" t="s">
        <v>153</v>
      </c>
      <c r="D7" s="28" t="s">
        <v>154</v>
      </c>
      <c r="E7" s="34" t="s">
        <v>49</v>
      </c>
      <c r="F7" s="35">
        <v>1</v>
      </c>
      <c r="G7" s="33">
        <v>225.38</v>
      </c>
      <c r="H7" s="72">
        <f>ROUND(F7*G7,2)</f>
        <v>225.38</v>
      </c>
    </row>
    <row r="8" spans="2:8" ht="22.5" x14ac:dyDescent="0.25">
      <c r="B8" s="67" t="s">
        <v>82</v>
      </c>
      <c r="C8" s="34">
        <v>3838</v>
      </c>
      <c r="D8" s="28" t="s">
        <v>155</v>
      </c>
      <c r="E8" s="34" t="s">
        <v>123</v>
      </c>
      <c r="F8" s="35">
        <v>1</v>
      </c>
      <c r="G8" s="33">
        <v>141.57</v>
      </c>
      <c r="H8" s="72">
        <f>ROUND(F8*G8,2)</f>
        <v>141.57</v>
      </c>
    </row>
    <row r="9" spans="2:8" x14ac:dyDescent="0.25">
      <c r="B9" s="87"/>
      <c r="C9" s="88"/>
      <c r="D9" s="89"/>
      <c r="E9" s="206" t="s">
        <v>93</v>
      </c>
      <c r="F9" s="206"/>
      <c r="G9" s="206"/>
      <c r="H9" s="37">
        <f>ROUND((SUM(H5:H8)),2)</f>
        <v>398.88</v>
      </c>
    </row>
    <row r="10" spans="2:8" x14ac:dyDescent="0.25">
      <c r="B10" s="90"/>
      <c r="C10" s="91"/>
      <c r="D10" s="92"/>
      <c r="E10" s="206" t="s">
        <v>130</v>
      </c>
      <c r="F10" s="206"/>
      <c r="G10" s="206"/>
      <c r="H10" s="39">
        <f>H9*23.75%</f>
        <v>94.733999999999995</v>
      </c>
    </row>
    <row r="11" spans="2:8" x14ac:dyDescent="0.25">
      <c r="B11" s="93"/>
      <c r="C11" s="94"/>
      <c r="D11" s="95"/>
      <c r="E11" s="206" t="s">
        <v>94</v>
      </c>
      <c r="F11" s="206"/>
      <c r="G11" s="206"/>
      <c r="H11" s="85">
        <f>ROUND(SUM(H9:H10),2)</f>
        <v>493.61</v>
      </c>
    </row>
  </sheetData>
  <mergeCells count="3">
    <mergeCell ref="E9:G9"/>
    <mergeCell ref="E10:G10"/>
    <mergeCell ref="E11:G11"/>
  </mergeCells>
  <pageMargins left="0.51180555555555496" right="0.51180555555555496" top="0.78749999999999998" bottom="0.78749999999999998" header="0.51180555555555496" footer="0.51180555555555496"/>
  <pageSetup paperSize="9" scale="90" firstPageNumber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4:H9"/>
  <sheetViews>
    <sheetView zoomScaleNormal="100" workbookViewId="0">
      <selection activeCell="F16" sqref="F16"/>
    </sheetView>
  </sheetViews>
  <sheetFormatPr defaultColWidth="8.42578125" defaultRowHeight="15" x14ac:dyDescent="0.25"/>
  <cols>
    <col min="3" max="3" width="12.42578125" customWidth="1"/>
    <col min="4" max="4" width="52.28515625" customWidth="1"/>
    <col min="6" max="6" width="18.140625" customWidth="1"/>
    <col min="7" max="7" width="27.5703125" customWidth="1"/>
    <col min="8" max="8" width="20.42578125" customWidth="1"/>
  </cols>
  <sheetData>
    <row r="4" spans="2:8" ht="33.75" x14ac:dyDescent="0.25">
      <c r="B4" s="21" t="s">
        <v>156</v>
      </c>
      <c r="C4" s="21" t="s">
        <v>75</v>
      </c>
      <c r="D4" s="22" t="s">
        <v>157</v>
      </c>
      <c r="E4" s="21" t="s">
        <v>123</v>
      </c>
      <c r="F4" s="23" t="s">
        <v>77</v>
      </c>
      <c r="G4" s="24" t="s">
        <v>78</v>
      </c>
      <c r="H4" s="25" t="s">
        <v>4</v>
      </c>
    </row>
    <row r="5" spans="2:8" x14ac:dyDescent="0.25">
      <c r="B5" s="26" t="s">
        <v>82</v>
      </c>
      <c r="C5" s="32" t="s">
        <v>158</v>
      </c>
      <c r="D5" s="28" t="s">
        <v>159</v>
      </c>
      <c r="E5" s="27" t="s">
        <v>123</v>
      </c>
      <c r="F5" s="29">
        <v>1</v>
      </c>
      <c r="G5" s="30">
        <v>507.47</v>
      </c>
      <c r="H5" s="31">
        <f>ROUND(F5*G5,2)</f>
        <v>507.47</v>
      </c>
    </row>
    <row r="6" spans="2:8" x14ac:dyDescent="0.25">
      <c r="B6" s="26" t="s">
        <v>82</v>
      </c>
      <c r="C6" s="32" t="s">
        <v>160</v>
      </c>
      <c r="D6" s="28" t="s">
        <v>161</v>
      </c>
      <c r="E6" s="27" t="s">
        <v>123</v>
      </c>
      <c r="F6" s="29">
        <v>1</v>
      </c>
      <c r="G6" s="30">
        <v>50.26</v>
      </c>
      <c r="H6" s="31">
        <f>ROUND(F6*G6,2)</f>
        <v>50.26</v>
      </c>
    </row>
    <row r="7" spans="2:8" x14ac:dyDescent="0.25">
      <c r="B7" s="36"/>
      <c r="C7" s="96"/>
      <c r="D7" s="97"/>
      <c r="E7" s="206" t="s">
        <v>93</v>
      </c>
      <c r="F7" s="206"/>
      <c r="G7" s="206"/>
      <c r="H7" s="37">
        <f>ROUND((SUM(H5:H6)),2)</f>
        <v>557.73</v>
      </c>
    </row>
    <row r="8" spans="2:8" x14ac:dyDescent="0.25">
      <c r="B8" s="38"/>
      <c r="D8" s="98"/>
      <c r="E8" s="206" t="s">
        <v>130</v>
      </c>
      <c r="F8" s="206"/>
      <c r="G8" s="206"/>
      <c r="H8" s="39">
        <f>H7*23.75%</f>
        <v>132.46087499999999</v>
      </c>
    </row>
    <row r="9" spans="2:8" x14ac:dyDescent="0.25">
      <c r="B9" s="82"/>
      <c r="C9" s="83"/>
      <c r="D9" s="99"/>
      <c r="E9" s="206" t="s">
        <v>94</v>
      </c>
      <c r="F9" s="206"/>
      <c r="G9" s="206"/>
      <c r="H9" s="85">
        <f>ROUND(SUM(H7:H8),2)</f>
        <v>690.19</v>
      </c>
    </row>
  </sheetData>
  <mergeCells count="3">
    <mergeCell ref="E7:G7"/>
    <mergeCell ref="E8:G8"/>
    <mergeCell ref="E9:G9"/>
  </mergeCells>
  <pageMargins left="0.51180555555555496" right="0.51180555555555496" top="0.78749999999999998" bottom="0.78749999999999998" header="0.51180555555555496" footer="0.51180555555555496"/>
  <pageSetup paperSize="9" scale="80" firstPageNumber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B1:S48"/>
  <sheetViews>
    <sheetView zoomScale="90" zoomScaleNormal="90" workbookViewId="0">
      <selection activeCell="D38" sqref="D38"/>
    </sheetView>
  </sheetViews>
  <sheetFormatPr defaultColWidth="8.42578125" defaultRowHeight="15" x14ac:dyDescent="0.25"/>
  <cols>
    <col min="2" max="2" width="12.42578125" customWidth="1"/>
    <col min="3" max="3" width="17.28515625" customWidth="1"/>
    <col min="4" max="4" width="62.140625" customWidth="1"/>
    <col min="6" max="6" width="17" customWidth="1"/>
    <col min="7" max="7" width="19.7109375" customWidth="1"/>
    <col min="8" max="8" width="14.42578125" customWidth="1"/>
    <col min="15" max="15" width="13.5703125" customWidth="1"/>
    <col min="16" max="16" width="12.28515625" customWidth="1"/>
  </cols>
  <sheetData>
    <row r="1" spans="2:19" x14ac:dyDescent="0.25">
      <c r="D1" t="s">
        <v>162</v>
      </c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</row>
    <row r="2" spans="2:19" ht="33.75" x14ac:dyDescent="0.25">
      <c r="B2" s="21" t="s">
        <v>163</v>
      </c>
      <c r="C2" s="21" t="s">
        <v>75</v>
      </c>
      <c r="D2" s="22" t="s">
        <v>164</v>
      </c>
      <c r="E2" s="21" t="s">
        <v>23</v>
      </c>
      <c r="F2" s="23" t="s">
        <v>77</v>
      </c>
      <c r="G2" s="24" t="s">
        <v>78</v>
      </c>
      <c r="H2" s="25" t="s">
        <v>4</v>
      </c>
      <c r="I2" s="189"/>
      <c r="J2" s="189"/>
      <c r="K2" s="189"/>
      <c r="L2" s="189"/>
      <c r="M2" s="189"/>
      <c r="N2" s="189"/>
      <c r="O2" s="190"/>
      <c r="P2" s="190" t="s">
        <v>165</v>
      </c>
      <c r="Q2" s="190" t="s">
        <v>166</v>
      </c>
      <c r="R2" s="189"/>
      <c r="S2" s="189"/>
    </row>
    <row r="3" spans="2:19" x14ac:dyDescent="0.25">
      <c r="B3" s="26" t="s">
        <v>79</v>
      </c>
      <c r="C3" s="27">
        <v>88316</v>
      </c>
      <c r="D3" s="101" t="s">
        <v>81</v>
      </c>
      <c r="E3" s="27" t="s">
        <v>23</v>
      </c>
      <c r="F3" s="29">
        <v>12</v>
      </c>
      <c r="G3" s="30">
        <v>17.43</v>
      </c>
      <c r="H3" s="31">
        <f>ROUND(F3*G3,2)</f>
        <v>209.16</v>
      </c>
      <c r="I3" s="190">
        <v>16.329999999999998</v>
      </c>
      <c r="J3" s="190"/>
      <c r="K3" s="190"/>
      <c r="L3" s="189"/>
      <c r="M3" s="189"/>
      <c r="N3" s="189"/>
      <c r="O3" s="190" t="s">
        <v>167</v>
      </c>
      <c r="P3" s="191">
        <f>341.91+90.48</f>
        <v>432.39000000000004</v>
      </c>
      <c r="Q3" s="192" t="s">
        <v>168</v>
      </c>
      <c r="R3" s="189"/>
      <c r="S3" s="189"/>
    </row>
    <row r="4" spans="2:19" x14ac:dyDescent="0.25">
      <c r="B4" s="102" t="s">
        <v>169</v>
      </c>
      <c r="C4" s="27" t="s">
        <v>169</v>
      </c>
      <c r="D4" s="101" t="s">
        <v>170</v>
      </c>
      <c r="E4" s="27" t="s">
        <v>126</v>
      </c>
      <c r="F4" s="29">
        <v>0.23</v>
      </c>
      <c r="G4" s="30">
        <f>P8</f>
        <v>42.884</v>
      </c>
      <c r="H4" s="31">
        <f>ROUND(F4*G4,2)</f>
        <v>9.86</v>
      </c>
      <c r="I4" s="190"/>
      <c r="J4" s="190">
        <v>10.17</v>
      </c>
      <c r="K4" s="190"/>
      <c r="L4" s="189"/>
      <c r="M4" s="189"/>
      <c r="N4" s="189"/>
      <c r="O4" s="190" t="s">
        <v>171</v>
      </c>
      <c r="P4" s="191">
        <v>404.7</v>
      </c>
      <c r="Q4" s="192" t="s">
        <v>172</v>
      </c>
      <c r="R4" s="189"/>
      <c r="S4" s="189"/>
    </row>
    <row r="5" spans="2:19" ht="33.75" x14ac:dyDescent="0.25">
      <c r="B5" s="103" t="s">
        <v>79</v>
      </c>
      <c r="C5" s="56">
        <v>90978</v>
      </c>
      <c r="D5" s="57" t="s">
        <v>173</v>
      </c>
      <c r="E5" s="27" t="s">
        <v>23</v>
      </c>
      <c r="F5" s="29">
        <v>12</v>
      </c>
      <c r="G5" s="30">
        <v>188.16</v>
      </c>
      <c r="H5" s="31">
        <f>G5*F5</f>
        <v>2257.92</v>
      </c>
      <c r="I5" s="190">
        <v>176.25</v>
      </c>
      <c r="J5" s="190"/>
      <c r="K5" s="190"/>
      <c r="L5" s="189"/>
      <c r="M5" s="189"/>
      <c r="N5" s="189"/>
      <c r="O5" s="190" t="s">
        <v>174</v>
      </c>
      <c r="P5" s="191">
        <f>449.43</f>
        <v>449.43</v>
      </c>
      <c r="Q5" s="192" t="s">
        <v>175</v>
      </c>
      <c r="R5" s="189"/>
      <c r="S5" s="189"/>
    </row>
    <row r="6" spans="2:19" x14ac:dyDescent="0.25">
      <c r="B6" s="103" t="s">
        <v>79</v>
      </c>
      <c r="C6" s="27">
        <v>88292</v>
      </c>
      <c r="D6" s="28" t="s">
        <v>117</v>
      </c>
      <c r="E6" s="34" t="s">
        <v>23</v>
      </c>
      <c r="F6" s="29">
        <v>12</v>
      </c>
      <c r="G6" s="30">
        <v>23.53</v>
      </c>
      <c r="H6" s="31">
        <f>G6*F6</f>
        <v>282.36</v>
      </c>
      <c r="I6" s="190">
        <v>20.48</v>
      </c>
      <c r="J6" s="190"/>
      <c r="K6" s="190"/>
      <c r="L6" s="189"/>
      <c r="M6" s="189"/>
      <c r="N6" s="189"/>
      <c r="O6" s="190"/>
      <c r="P6" s="191"/>
      <c r="Q6" s="192"/>
      <c r="R6" s="189"/>
      <c r="S6" s="189"/>
    </row>
    <row r="7" spans="2:19" x14ac:dyDescent="0.25">
      <c r="B7" s="26" t="s">
        <v>82</v>
      </c>
      <c r="C7" s="32" t="s">
        <v>83</v>
      </c>
      <c r="D7" s="28" t="s">
        <v>84</v>
      </c>
      <c r="E7" s="34" t="s">
        <v>85</v>
      </c>
      <c r="F7" s="29">
        <v>0.3</v>
      </c>
      <c r="G7" s="30">
        <v>7.63</v>
      </c>
      <c r="H7" s="31">
        <f>G7*F7</f>
        <v>2.2889999999999997</v>
      </c>
      <c r="I7" s="190">
        <v>1.76</v>
      </c>
      <c r="J7" s="190"/>
      <c r="K7" s="190"/>
      <c r="L7" s="189"/>
      <c r="M7" s="189"/>
      <c r="N7" s="189"/>
      <c r="O7" s="190" t="s">
        <v>176</v>
      </c>
      <c r="P7" s="191">
        <f>AVERAGE(P3:P5)</f>
        <v>428.84</v>
      </c>
      <c r="Q7" s="190"/>
      <c r="R7" s="189"/>
      <c r="S7" s="189"/>
    </row>
    <row r="8" spans="2:19" x14ac:dyDescent="0.25">
      <c r="B8" s="48"/>
      <c r="C8" s="9"/>
      <c r="D8" s="101"/>
      <c r="E8" s="206" t="s">
        <v>93</v>
      </c>
      <c r="F8" s="206"/>
      <c r="G8" s="206"/>
      <c r="H8" s="37">
        <f>ROUND((SUM(H3:H7)),2)</f>
        <v>2761.59</v>
      </c>
      <c r="I8" s="190">
        <f>SUM(I3,I5,I6,I7)</f>
        <v>214.81999999999996</v>
      </c>
      <c r="J8" s="190">
        <v>10.17</v>
      </c>
      <c r="K8" s="190"/>
      <c r="L8" s="189"/>
      <c r="M8" s="189"/>
      <c r="N8" s="189"/>
      <c r="O8" s="190" t="s">
        <v>177</v>
      </c>
      <c r="P8" s="193">
        <f>P7/10</f>
        <v>42.884</v>
      </c>
      <c r="Q8" s="190"/>
      <c r="R8" s="189"/>
      <c r="S8" s="189"/>
    </row>
    <row r="9" spans="2:19" x14ac:dyDescent="0.25">
      <c r="B9" s="49"/>
      <c r="C9" s="50"/>
      <c r="D9" s="104"/>
      <c r="E9" s="206" t="str">
        <f>"BDI ( " &amp;TEXT('[1]CPU-Instalação'!$H$8,"0,00") &amp;" ) %:"</f>
        <v>BDI ( 23,75 ) %:</v>
      </c>
      <c r="F9" s="206"/>
      <c r="G9" s="206"/>
      <c r="H9" s="39">
        <f>H8*23.75%</f>
        <v>655.87762499999997</v>
      </c>
      <c r="I9" s="190">
        <f>I8*23.75%</f>
        <v>51.019749999999988</v>
      </c>
      <c r="J9" s="190">
        <f>J8*23.75%</f>
        <v>2.415375</v>
      </c>
      <c r="K9" s="190"/>
      <c r="L9" s="189"/>
      <c r="M9" s="189"/>
      <c r="N9" s="189"/>
      <c r="O9" s="190"/>
      <c r="P9" s="190"/>
      <c r="Q9" s="190"/>
      <c r="R9" s="189"/>
      <c r="S9" s="189"/>
    </row>
    <row r="10" spans="2:19" x14ac:dyDescent="0.25">
      <c r="B10" s="52"/>
      <c r="C10" s="53"/>
      <c r="D10" s="54"/>
      <c r="E10" s="207" t="s">
        <v>94</v>
      </c>
      <c r="F10" s="207"/>
      <c r="G10" s="207"/>
      <c r="H10" s="42">
        <f>ROUND(SUM(H8:H9),2)</f>
        <v>3417.47</v>
      </c>
      <c r="I10" s="190">
        <f>I8+I9</f>
        <v>265.83974999999998</v>
      </c>
      <c r="J10" s="190">
        <f>J8+J9</f>
        <v>12.585374999999999</v>
      </c>
      <c r="K10" s="190"/>
      <c r="L10" s="189"/>
      <c r="M10" s="189"/>
      <c r="N10" s="189"/>
      <c r="O10" s="189"/>
      <c r="P10" s="189"/>
      <c r="Q10" s="189"/>
      <c r="R10" s="189"/>
      <c r="S10" s="189"/>
    </row>
    <row r="11" spans="2:19" x14ac:dyDescent="0.25">
      <c r="I11" s="190">
        <f>I10*12+J10</f>
        <v>3202.6623749999999</v>
      </c>
      <c r="J11" s="190"/>
      <c r="K11" s="190"/>
      <c r="L11" s="189"/>
      <c r="M11" s="189"/>
      <c r="N11" s="189"/>
      <c r="O11" s="189"/>
      <c r="P11" s="189"/>
      <c r="Q11" s="189"/>
      <c r="R11" s="189"/>
      <c r="S11" s="189"/>
    </row>
    <row r="12" spans="2:19" x14ac:dyDescent="0.25">
      <c r="H12">
        <v>3582.84</v>
      </c>
      <c r="I12" s="190"/>
      <c r="J12" s="190"/>
      <c r="K12" s="190"/>
      <c r="L12" s="189"/>
      <c r="M12" s="189"/>
      <c r="N12" s="189"/>
      <c r="O12" s="189"/>
      <c r="P12" s="189"/>
      <c r="Q12" s="189"/>
      <c r="R12" s="189"/>
      <c r="S12" s="189"/>
    </row>
    <row r="13" spans="2:19" x14ac:dyDescent="0.25">
      <c r="D13" t="s">
        <v>178</v>
      </c>
      <c r="I13" s="190"/>
      <c r="J13" s="190"/>
      <c r="K13" s="190"/>
      <c r="L13" s="189"/>
      <c r="M13" s="189"/>
      <c r="N13" s="189"/>
      <c r="O13" s="189"/>
      <c r="P13" s="189"/>
      <c r="Q13" s="189"/>
      <c r="R13" s="189"/>
      <c r="S13" s="189"/>
    </row>
    <row r="14" spans="2:19" ht="33.75" x14ac:dyDescent="0.25">
      <c r="B14" s="21" t="s">
        <v>179</v>
      </c>
      <c r="C14" s="21" t="s">
        <v>75</v>
      </c>
      <c r="D14" s="22" t="s">
        <v>164</v>
      </c>
      <c r="E14" s="21" t="s">
        <v>23</v>
      </c>
      <c r="F14" s="23" t="s">
        <v>77</v>
      </c>
      <c r="G14" s="24" t="s">
        <v>78</v>
      </c>
      <c r="H14" s="25" t="s">
        <v>4</v>
      </c>
      <c r="I14" s="190"/>
      <c r="J14" s="190"/>
      <c r="K14" s="190"/>
      <c r="L14" s="189"/>
      <c r="M14" s="189"/>
      <c r="N14" s="189"/>
      <c r="O14" s="189"/>
      <c r="P14" s="189"/>
      <c r="Q14" s="189"/>
      <c r="R14" s="189"/>
      <c r="S14" s="189"/>
    </row>
    <row r="15" spans="2:19" x14ac:dyDescent="0.25">
      <c r="B15" s="26" t="s">
        <v>79</v>
      </c>
      <c r="C15" s="27">
        <v>88316</v>
      </c>
      <c r="D15" s="101" t="s">
        <v>81</v>
      </c>
      <c r="E15" s="27" t="s">
        <v>23</v>
      </c>
      <c r="F15" s="29">
        <v>12</v>
      </c>
      <c r="G15" s="30">
        <v>17.43</v>
      </c>
      <c r="H15" s="31">
        <f>ROUND(F15*G15,2)</f>
        <v>209.16</v>
      </c>
      <c r="I15" s="190">
        <v>16.329999999999998</v>
      </c>
      <c r="J15" s="190"/>
      <c r="K15" s="190"/>
      <c r="L15" s="189"/>
      <c r="M15" s="189"/>
      <c r="N15" s="189"/>
      <c r="O15" s="189"/>
      <c r="P15" s="189"/>
      <c r="Q15" s="189"/>
      <c r="R15" s="189"/>
      <c r="S15" s="189"/>
    </row>
    <row r="16" spans="2:19" x14ac:dyDescent="0.25">
      <c r="B16" s="102" t="s">
        <v>169</v>
      </c>
      <c r="C16" s="27" t="s">
        <v>169</v>
      </c>
      <c r="D16" s="101" t="s">
        <v>170</v>
      </c>
      <c r="E16" s="27" t="s">
        <v>126</v>
      </c>
      <c r="F16" s="29">
        <v>0.21307690000000001</v>
      </c>
      <c r="G16" s="30">
        <f>P8</f>
        <v>42.884</v>
      </c>
      <c r="H16" s="31">
        <f>ROUND(F16*G16,2)</f>
        <v>9.14</v>
      </c>
      <c r="I16" s="190"/>
      <c r="J16" s="190">
        <v>9.42</v>
      </c>
      <c r="K16" s="190"/>
      <c r="L16" s="189"/>
      <c r="M16" s="189"/>
      <c r="N16" s="189"/>
      <c r="O16" s="189"/>
      <c r="P16" s="189"/>
      <c r="Q16" s="189"/>
      <c r="R16" s="189"/>
      <c r="S16" s="189"/>
    </row>
    <row r="17" spans="2:19" ht="33.75" x14ac:dyDescent="0.25">
      <c r="B17" s="103" t="s">
        <v>79</v>
      </c>
      <c r="C17" s="56">
        <v>90978</v>
      </c>
      <c r="D17" s="57" t="s">
        <v>173</v>
      </c>
      <c r="E17" s="27" t="s">
        <v>23</v>
      </c>
      <c r="F17" s="29">
        <v>12</v>
      </c>
      <c r="G17" s="30">
        <f>G5</f>
        <v>188.16</v>
      </c>
      <c r="H17" s="31">
        <f>G17*F17</f>
        <v>2257.92</v>
      </c>
      <c r="I17" s="190">
        <v>176.25</v>
      </c>
      <c r="J17" s="190"/>
      <c r="K17" s="190"/>
      <c r="L17" s="189"/>
      <c r="M17" s="189"/>
      <c r="N17" s="189"/>
      <c r="O17" s="189"/>
      <c r="P17" s="189"/>
      <c r="Q17" s="189"/>
      <c r="R17" s="189"/>
      <c r="S17" s="189"/>
    </row>
    <row r="18" spans="2:19" x14ac:dyDescent="0.25">
      <c r="B18" s="103" t="s">
        <v>79</v>
      </c>
      <c r="C18" s="27">
        <v>88292</v>
      </c>
      <c r="D18" s="28" t="s">
        <v>117</v>
      </c>
      <c r="E18" s="34" t="s">
        <v>23</v>
      </c>
      <c r="F18" s="29">
        <v>12</v>
      </c>
      <c r="G18" s="30">
        <v>23.53</v>
      </c>
      <c r="H18" s="31">
        <f>G18*F18</f>
        <v>282.36</v>
      </c>
      <c r="I18" s="190">
        <v>20.48</v>
      </c>
      <c r="J18" s="190"/>
      <c r="K18" s="190"/>
      <c r="L18" s="189"/>
      <c r="M18" s="189"/>
      <c r="N18" s="189"/>
      <c r="O18" s="189"/>
      <c r="P18" s="189"/>
      <c r="Q18" s="189"/>
      <c r="R18" s="189"/>
      <c r="S18" s="189"/>
    </row>
    <row r="19" spans="2:19" x14ac:dyDescent="0.25">
      <c r="B19" s="26" t="s">
        <v>82</v>
      </c>
      <c r="C19" s="32" t="s">
        <v>83</v>
      </c>
      <c r="D19" s="28" t="s">
        <v>84</v>
      </c>
      <c r="E19" s="34" t="s">
        <v>85</v>
      </c>
      <c r="F19" s="29">
        <v>0.3</v>
      </c>
      <c r="G19" s="30">
        <f>G7</f>
        <v>7.63</v>
      </c>
      <c r="H19" s="31">
        <f>G19*F19</f>
        <v>2.2889999999999997</v>
      </c>
      <c r="I19" s="190">
        <v>1.76</v>
      </c>
      <c r="J19" s="190"/>
      <c r="K19" s="190"/>
      <c r="L19" s="189"/>
      <c r="M19" s="189"/>
      <c r="N19" s="189"/>
      <c r="O19" s="189"/>
      <c r="P19" s="189"/>
      <c r="Q19" s="189"/>
      <c r="R19" s="189"/>
      <c r="S19" s="189"/>
    </row>
    <row r="20" spans="2:19" x14ac:dyDescent="0.25">
      <c r="B20" s="48"/>
      <c r="C20" s="9"/>
      <c r="D20" s="101"/>
      <c r="E20" s="206" t="s">
        <v>93</v>
      </c>
      <c r="F20" s="206"/>
      <c r="G20" s="206"/>
      <c r="H20" s="37">
        <f>ROUND((SUM(H15:H19)),2)</f>
        <v>2760.87</v>
      </c>
      <c r="I20" s="190">
        <f>SUM(I19,I18,I17,I15)</f>
        <v>214.82</v>
      </c>
      <c r="J20" s="190">
        <f>J16</f>
        <v>9.42</v>
      </c>
      <c r="K20" s="190"/>
      <c r="L20" s="189"/>
      <c r="M20" s="189"/>
      <c r="N20" s="189"/>
      <c r="O20" s="189"/>
      <c r="P20" s="189"/>
      <c r="Q20" s="189"/>
      <c r="R20" s="189"/>
      <c r="S20" s="189"/>
    </row>
    <row r="21" spans="2:19" x14ac:dyDescent="0.25">
      <c r="B21" s="49"/>
      <c r="C21" s="50"/>
      <c r="D21" s="104"/>
      <c r="E21" s="206" t="str">
        <f>"BDI ( " &amp;TEXT('[1]CPU-Instalação'!$H$8,"0,00") &amp;" ) %:"</f>
        <v>BDI ( 23,75 ) %:</v>
      </c>
      <c r="F21" s="206"/>
      <c r="G21" s="206"/>
      <c r="H21" s="39">
        <f>H20*23.75%</f>
        <v>655.70662499999992</v>
      </c>
      <c r="I21" s="190">
        <f>I20*23.75%</f>
        <v>51.019749999999995</v>
      </c>
      <c r="J21" s="190">
        <f>J20*23.75%</f>
        <v>2.23725</v>
      </c>
      <c r="K21" s="190"/>
      <c r="L21" s="189"/>
      <c r="M21" s="189"/>
      <c r="N21" s="189"/>
      <c r="O21" s="189"/>
      <c r="P21" s="189"/>
      <c r="Q21" s="189"/>
      <c r="R21" s="189"/>
      <c r="S21" s="189"/>
    </row>
    <row r="22" spans="2:19" ht="15.75" thickBot="1" x14ac:dyDescent="0.3">
      <c r="B22" s="52"/>
      <c r="C22" s="53"/>
      <c r="D22" s="54"/>
      <c r="E22" s="207" t="s">
        <v>94</v>
      </c>
      <c r="F22" s="207"/>
      <c r="G22" s="207"/>
      <c r="H22" s="42">
        <f>ROUND(SUM(H20:H21),2)</f>
        <v>3416.58</v>
      </c>
      <c r="I22" s="190">
        <f>I20+I21</f>
        <v>265.83974999999998</v>
      </c>
      <c r="J22" s="190">
        <f>J20+J21</f>
        <v>11.657249999999999</v>
      </c>
      <c r="K22" s="190"/>
      <c r="L22" s="189"/>
      <c r="M22" s="189"/>
      <c r="N22" s="189"/>
      <c r="O22" s="189"/>
      <c r="P22" s="189"/>
      <c r="Q22" s="189"/>
      <c r="R22" s="189"/>
      <c r="S22" s="189"/>
    </row>
    <row r="23" spans="2:19" x14ac:dyDescent="0.25">
      <c r="D23" t="s">
        <v>180</v>
      </c>
      <c r="I23" s="190"/>
      <c r="J23" s="190"/>
      <c r="K23" s="190"/>
      <c r="L23" s="189"/>
      <c r="M23" s="189"/>
      <c r="N23" s="189"/>
      <c r="O23" s="189"/>
      <c r="P23" s="189"/>
      <c r="Q23" s="189"/>
      <c r="R23" s="189"/>
      <c r="S23" s="189"/>
    </row>
    <row r="24" spans="2:19" ht="33.75" x14ac:dyDescent="0.25">
      <c r="B24" s="21" t="s">
        <v>181</v>
      </c>
      <c r="C24" s="21" t="s">
        <v>75</v>
      </c>
      <c r="D24" s="22" t="s">
        <v>164</v>
      </c>
      <c r="E24" s="21" t="s">
        <v>23</v>
      </c>
      <c r="F24" s="23" t="s">
        <v>77</v>
      </c>
      <c r="G24" s="24" t="s">
        <v>78</v>
      </c>
      <c r="H24" s="25" t="s">
        <v>4</v>
      </c>
      <c r="I24" s="190"/>
      <c r="J24" s="190"/>
      <c r="K24" s="190"/>
      <c r="L24" s="189"/>
      <c r="M24" s="189"/>
      <c r="N24" s="189"/>
      <c r="O24" s="189"/>
      <c r="P24" s="189"/>
      <c r="Q24" s="189"/>
      <c r="R24" s="189"/>
      <c r="S24" s="189"/>
    </row>
    <row r="25" spans="2:19" x14ac:dyDescent="0.25">
      <c r="B25" s="26" t="s">
        <v>79</v>
      </c>
      <c r="C25" s="27">
        <v>88316</v>
      </c>
      <c r="D25" s="101" t="s">
        <v>81</v>
      </c>
      <c r="E25" s="27" t="s">
        <v>23</v>
      </c>
      <c r="F25" s="29">
        <v>12</v>
      </c>
      <c r="G25" s="30">
        <v>17.43</v>
      </c>
      <c r="H25" s="31">
        <f>ROUND(F25*G25,2)</f>
        <v>209.16</v>
      </c>
      <c r="I25" s="190">
        <v>16.329999999999998</v>
      </c>
      <c r="J25" s="190"/>
      <c r="K25" s="190"/>
      <c r="L25" s="189"/>
      <c r="M25" s="189"/>
      <c r="N25" s="189"/>
      <c r="O25" s="189"/>
      <c r="P25" s="189"/>
      <c r="Q25" s="189"/>
      <c r="R25" s="189"/>
      <c r="S25" s="189"/>
    </row>
    <row r="26" spans="2:19" x14ac:dyDescent="0.25">
      <c r="B26" s="102" t="s">
        <v>169</v>
      </c>
      <c r="C26" s="27" t="s">
        <v>169</v>
      </c>
      <c r="D26" s="101" t="s">
        <v>170</v>
      </c>
      <c r="E26" s="27" t="s">
        <v>126</v>
      </c>
      <c r="F26" s="29">
        <v>0.1961</v>
      </c>
      <c r="G26" s="30">
        <f>P8</f>
        <v>42.884</v>
      </c>
      <c r="H26" s="31">
        <f>ROUND(F26*G26,2)</f>
        <v>8.41</v>
      </c>
      <c r="I26" s="190"/>
      <c r="J26" s="190">
        <v>8.67</v>
      </c>
      <c r="K26" s="190"/>
      <c r="L26" s="189"/>
      <c r="M26" s="189"/>
      <c r="N26" s="189"/>
      <c r="O26" s="189"/>
      <c r="P26" s="189"/>
      <c r="Q26" s="189"/>
      <c r="R26" s="189"/>
      <c r="S26" s="189"/>
    </row>
    <row r="27" spans="2:19" ht="33.75" x14ac:dyDescent="0.25">
      <c r="B27" s="103" t="s">
        <v>79</v>
      </c>
      <c r="C27" s="56">
        <v>90978</v>
      </c>
      <c r="D27" s="57" t="s">
        <v>173</v>
      </c>
      <c r="E27" s="27" t="s">
        <v>23</v>
      </c>
      <c r="F27" s="29">
        <v>12</v>
      </c>
      <c r="G27" s="30">
        <f>G5</f>
        <v>188.16</v>
      </c>
      <c r="H27" s="31">
        <f>G27*F27</f>
        <v>2257.92</v>
      </c>
      <c r="I27" s="190">
        <v>176.25</v>
      </c>
      <c r="J27" s="190"/>
      <c r="K27" s="190"/>
      <c r="L27" s="189"/>
      <c r="M27" s="189"/>
      <c r="N27" s="189"/>
      <c r="O27" s="189"/>
      <c r="P27" s="189"/>
      <c r="Q27" s="189"/>
      <c r="R27" s="189"/>
      <c r="S27" s="189"/>
    </row>
    <row r="28" spans="2:19" x14ac:dyDescent="0.25">
      <c r="B28" s="26" t="s">
        <v>79</v>
      </c>
      <c r="C28" s="27">
        <v>88292</v>
      </c>
      <c r="D28" s="28" t="s">
        <v>117</v>
      </c>
      <c r="E28" s="34" t="s">
        <v>23</v>
      </c>
      <c r="F28" s="29">
        <v>12</v>
      </c>
      <c r="G28" s="30">
        <v>23.53</v>
      </c>
      <c r="H28" s="31">
        <f>G28*F28</f>
        <v>282.36</v>
      </c>
      <c r="I28" s="190">
        <v>20.48</v>
      </c>
      <c r="J28" s="190"/>
      <c r="K28" s="190"/>
      <c r="L28" s="189"/>
      <c r="M28" s="189"/>
      <c r="N28" s="189"/>
      <c r="O28" s="189"/>
      <c r="P28" s="189"/>
      <c r="Q28" s="189"/>
      <c r="R28" s="189"/>
      <c r="S28" s="189"/>
    </row>
    <row r="29" spans="2:19" x14ac:dyDescent="0.25">
      <c r="B29" s="26" t="s">
        <v>82</v>
      </c>
      <c r="C29" s="32" t="s">
        <v>83</v>
      </c>
      <c r="D29" s="28" t="s">
        <v>84</v>
      </c>
      <c r="E29" s="34" t="s">
        <v>85</v>
      </c>
      <c r="F29" s="29">
        <v>0.3</v>
      </c>
      <c r="G29" s="30">
        <f>G7</f>
        <v>7.63</v>
      </c>
      <c r="H29" s="31">
        <f>G29*F29</f>
        <v>2.2889999999999997</v>
      </c>
      <c r="I29" s="190">
        <v>1.76</v>
      </c>
      <c r="J29" s="190"/>
      <c r="K29" s="190"/>
      <c r="L29" s="189"/>
      <c r="M29" s="189"/>
      <c r="N29" s="189"/>
      <c r="O29" s="189"/>
      <c r="P29" s="189"/>
      <c r="Q29" s="189"/>
      <c r="R29" s="189"/>
      <c r="S29" s="189"/>
    </row>
    <row r="30" spans="2:19" x14ac:dyDescent="0.25">
      <c r="B30" s="48"/>
      <c r="C30" s="9"/>
      <c r="D30" s="101"/>
      <c r="E30" s="206" t="s">
        <v>93</v>
      </c>
      <c r="F30" s="206"/>
      <c r="G30" s="206"/>
      <c r="H30" s="37">
        <f>ROUND((SUM(H25:H29)),2)</f>
        <v>2760.14</v>
      </c>
      <c r="I30" s="190">
        <f>I25+I27+I28+I29</f>
        <v>214.81999999999996</v>
      </c>
      <c r="J30" s="190">
        <f>J26</f>
        <v>8.67</v>
      </c>
      <c r="K30" s="190"/>
      <c r="L30" s="189"/>
      <c r="M30" s="189"/>
      <c r="N30" s="189"/>
      <c r="O30" s="189"/>
      <c r="P30" s="189"/>
      <c r="Q30" s="189"/>
      <c r="R30" s="189"/>
      <c r="S30" s="189"/>
    </row>
    <row r="31" spans="2:19" x14ac:dyDescent="0.25">
      <c r="B31" s="49"/>
      <c r="C31" s="50"/>
      <c r="D31" s="104"/>
      <c r="E31" s="206" t="str">
        <f>"BDI ( " &amp;TEXT('[1]CPU-Instalação'!$H$8,"0,00") &amp;" ) %:"</f>
        <v>BDI ( 23,75 ) %:</v>
      </c>
      <c r="F31" s="206"/>
      <c r="G31" s="206"/>
      <c r="H31" s="39">
        <f>H30*23.75%</f>
        <v>655.53324999999995</v>
      </c>
      <c r="I31" s="190">
        <f>I30*23.75%</f>
        <v>51.019749999999988</v>
      </c>
      <c r="J31" s="190">
        <f>J30*23.75%</f>
        <v>2.0591249999999999</v>
      </c>
      <c r="K31" s="190"/>
      <c r="L31" s="189"/>
      <c r="M31" s="189"/>
      <c r="N31" s="189"/>
      <c r="O31" s="189"/>
      <c r="P31" s="189"/>
      <c r="Q31" s="189"/>
      <c r="R31" s="189"/>
      <c r="S31" s="189"/>
    </row>
    <row r="32" spans="2:19" x14ac:dyDescent="0.25">
      <c r="B32" s="52"/>
      <c r="C32" s="53"/>
      <c r="D32" s="54"/>
      <c r="E32" s="207" t="s">
        <v>94</v>
      </c>
      <c r="F32" s="207"/>
      <c r="G32" s="207"/>
      <c r="H32" s="42">
        <f>ROUND(SUM(H30:H31),2)</f>
        <v>3415.67</v>
      </c>
      <c r="I32" s="190">
        <f>I30+I31</f>
        <v>265.83974999999998</v>
      </c>
      <c r="J32" s="190">
        <f>J31+J30</f>
        <v>10.729125</v>
      </c>
      <c r="K32" s="190"/>
      <c r="L32" s="189"/>
      <c r="M32" s="189"/>
      <c r="N32" s="189"/>
      <c r="O32" s="189"/>
      <c r="P32" s="189"/>
      <c r="Q32" s="189"/>
      <c r="R32" s="189"/>
      <c r="S32" s="189"/>
    </row>
    <row r="33" spans="2:19" x14ac:dyDescent="0.25">
      <c r="I33" s="190">
        <f>I32*12+J32</f>
        <v>3200.8061249999996</v>
      </c>
      <c r="J33" s="190"/>
      <c r="K33" s="190"/>
      <c r="L33" s="189"/>
      <c r="M33" s="189"/>
      <c r="N33" s="189"/>
      <c r="O33" s="189"/>
      <c r="P33" s="189"/>
      <c r="Q33" s="189"/>
      <c r="R33" s="189"/>
      <c r="S33" s="189"/>
    </row>
    <row r="34" spans="2:19" x14ac:dyDescent="0.25">
      <c r="D34" t="s">
        <v>304</v>
      </c>
      <c r="I34" s="190"/>
      <c r="J34" s="190"/>
      <c r="K34" s="190"/>
      <c r="L34" s="189"/>
      <c r="M34" s="189"/>
      <c r="N34" s="189"/>
      <c r="O34" s="189"/>
      <c r="P34" s="189"/>
      <c r="Q34" s="189"/>
      <c r="R34" s="189"/>
      <c r="S34" s="189"/>
    </row>
    <row r="35" spans="2:19" ht="33.75" x14ac:dyDescent="0.25">
      <c r="B35" s="21" t="s">
        <v>182</v>
      </c>
      <c r="C35" s="21" t="s">
        <v>75</v>
      </c>
      <c r="D35" s="22" t="s">
        <v>164</v>
      </c>
      <c r="E35" s="21" t="s">
        <v>23</v>
      </c>
      <c r="F35" s="23" t="s">
        <v>77</v>
      </c>
      <c r="G35" s="24" t="s">
        <v>78</v>
      </c>
      <c r="H35" s="25" t="s">
        <v>4</v>
      </c>
      <c r="I35" s="189"/>
      <c r="J35" s="189"/>
      <c r="K35" s="189"/>
      <c r="L35" s="189"/>
      <c r="M35" s="189"/>
      <c r="N35" s="189"/>
      <c r="O35" s="189"/>
      <c r="P35" s="189"/>
      <c r="Q35" s="189"/>
      <c r="R35" s="189"/>
      <c r="S35" s="189"/>
    </row>
    <row r="36" spans="2:19" x14ac:dyDescent="0.25">
      <c r="B36" s="26" t="s">
        <v>79</v>
      </c>
      <c r="C36" s="27">
        <v>88316</v>
      </c>
      <c r="D36" s="101" t="s">
        <v>81</v>
      </c>
      <c r="E36" s="27" t="s">
        <v>23</v>
      </c>
      <c r="F36" s="29">
        <v>12</v>
      </c>
      <c r="G36" s="30">
        <v>17.43</v>
      </c>
      <c r="H36" s="31">
        <f>ROUND(F36*G36,2)</f>
        <v>209.16</v>
      </c>
      <c r="I36" s="189"/>
      <c r="J36" s="189"/>
      <c r="K36" s="189"/>
      <c r="L36" s="189"/>
      <c r="M36" s="189"/>
      <c r="N36" s="189"/>
      <c r="O36" s="189"/>
      <c r="P36" s="189"/>
      <c r="Q36" s="189"/>
      <c r="R36" s="189"/>
      <c r="S36" s="189"/>
    </row>
    <row r="37" spans="2:19" x14ac:dyDescent="0.25">
      <c r="B37" s="102" t="s">
        <v>169</v>
      </c>
      <c r="C37" s="27" t="s">
        <v>169</v>
      </c>
      <c r="D37" s="101" t="s">
        <v>170</v>
      </c>
      <c r="E37" s="27" t="s">
        <v>126</v>
      </c>
      <c r="F37" s="29">
        <v>0.2477</v>
      </c>
      <c r="G37" s="30">
        <v>42.88</v>
      </c>
      <c r="H37" s="31">
        <f>ROUND(F37*G37,2)</f>
        <v>10.62</v>
      </c>
      <c r="I37" s="189"/>
      <c r="J37" s="189"/>
      <c r="K37" s="189"/>
      <c r="L37" s="189"/>
      <c r="M37" s="189"/>
      <c r="N37" s="189"/>
      <c r="O37" s="189"/>
      <c r="P37" s="189"/>
      <c r="Q37" s="189"/>
      <c r="R37" s="189"/>
      <c r="S37" s="189"/>
    </row>
    <row r="38" spans="2:19" ht="33.75" x14ac:dyDescent="0.25">
      <c r="B38" s="103" t="s">
        <v>79</v>
      </c>
      <c r="C38" s="56">
        <v>90978</v>
      </c>
      <c r="D38" s="57" t="s">
        <v>173</v>
      </c>
      <c r="E38" s="27" t="s">
        <v>23</v>
      </c>
      <c r="F38" s="29">
        <v>12</v>
      </c>
      <c r="G38" s="30">
        <f>G17</f>
        <v>188.16</v>
      </c>
      <c r="H38" s="31">
        <f>G38*F38</f>
        <v>2257.92</v>
      </c>
      <c r="I38" s="189"/>
      <c r="J38" s="189"/>
      <c r="K38" s="189"/>
      <c r="L38" s="189"/>
      <c r="M38" s="189"/>
      <c r="N38" s="189"/>
      <c r="O38" s="189"/>
      <c r="P38" s="189"/>
      <c r="Q38" s="189"/>
      <c r="R38" s="189"/>
      <c r="S38" s="189"/>
    </row>
    <row r="39" spans="2:19" x14ac:dyDescent="0.25">
      <c r="B39" s="26" t="s">
        <v>79</v>
      </c>
      <c r="C39" s="27">
        <v>88292</v>
      </c>
      <c r="D39" s="28" t="s">
        <v>117</v>
      </c>
      <c r="E39" s="34" t="s">
        <v>23</v>
      </c>
      <c r="F39" s="29">
        <v>12</v>
      </c>
      <c r="G39" s="30">
        <v>23.53</v>
      </c>
      <c r="H39" s="31">
        <f>G39*F39</f>
        <v>282.36</v>
      </c>
      <c r="I39" s="189"/>
      <c r="J39" s="189"/>
      <c r="K39" s="189"/>
      <c r="L39" s="189"/>
      <c r="M39" s="189"/>
      <c r="N39" s="189"/>
      <c r="O39" s="189"/>
      <c r="P39" s="189"/>
      <c r="Q39" s="189"/>
      <c r="R39" s="189"/>
      <c r="S39" s="189"/>
    </row>
    <row r="40" spans="2:19" x14ac:dyDescent="0.25">
      <c r="B40" s="26" t="s">
        <v>82</v>
      </c>
      <c r="C40" s="32" t="s">
        <v>83</v>
      </c>
      <c r="D40" s="28" t="s">
        <v>84</v>
      </c>
      <c r="E40" s="34" t="s">
        <v>85</v>
      </c>
      <c r="F40" s="29">
        <v>0.3</v>
      </c>
      <c r="G40" s="30">
        <f>G19</f>
        <v>7.63</v>
      </c>
      <c r="H40" s="31">
        <f>G40*F40</f>
        <v>2.2889999999999997</v>
      </c>
      <c r="I40" s="189"/>
      <c r="J40" s="189"/>
      <c r="K40" s="189"/>
      <c r="L40" s="189"/>
      <c r="M40" s="189"/>
      <c r="N40" s="189"/>
      <c r="O40" s="189"/>
      <c r="P40" s="189"/>
      <c r="Q40" s="189"/>
      <c r="R40" s="189"/>
      <c r="S40" s="189"/>
    </row>
    <row r="41" spans="2:19" x14ac:dyDescent="0.25">
      <c r="B41" s="48"/>
      <c r="C41" s="9"/>
      <c r="D41" s="101"/>
      <c r="E41" s="206" t="s">
        <v>93</v>
      </c>
      <c r="F41" s="206"/>
      <c r="G41" s="206"/>
      <c r="H41" s="37">
        <f>ROUND((SUM(H36:H40)),2)</f>
        <v>2762.35</v>
      </c>
      <c r="I41" s="189"/>
      <c r="J41" s="189"/>
      <c r="K41" s="189"/>
      <c r="L41" s="189"/>
      <c r="M41" s="189"/>
      <c r="N41" s="189"/>
      <c r="O41" s="189"/>
      <c r="P41" s="189"/>
      <c r="Q41" s="189"/>
      <c r="R41" s="189"/>
      <c r="S41" s="189"/>
    </row>
    <row r="42" spans="2:19" x14ac:dyDescent="0.25">
      <c r="B42" s="49"/>
      <c r="C42" s="50"/>
      <c r="D42" s="104"/>
      <c r="E42" s="206" t="str">
        <f>"BDI ( " &amp;TEXT('[1]CPU-Instalação'!$H$8,"0,00") &amp;" ) %:"</f>
        <v>BDI ( 23,75 ) %:</v>
      </c>
      <c r="F42" s="206"/>
      <c r="G42" s="206"/>
      <c r="H42" s="39">
        <f>H41*23.75%</f>
        <v>656.0581249999999</v>
      </c>
      <c r="I42" s="189"/>
      <c r="J42" s="189"/>
      <c r="K42" s="189"/>
      <c r="L42" s="189"/>
      <c r="M42" s="189"/>
      <c r="N42" s="189"/>
      <c r="O42" s="189"/>
      <c r="P42" s="189"/>
      <c r="Q42" s="189"/>
      <c r="R42" s="189"/>
      <c r="S42" s="189"/>
    </row>
    <row r="43" spans="2:19" ht="15.75" thickBot="1" x14ac:dyDescent="0.3">
      <c r="B43" s="52"/>
      <c r="C43" s="53"/>
      <c r="D43" s="54"/>
      <c r="E43" s="207" t="s">
        <v>94</v>
      </c>
      <c r="F43" s="207"/>
      <c r="G43" s="207"/>
      <c r="H43" s="42">
        <f>ROUND(SUM(H41:H42),2)</f>
        <v>3418.41</v>
      </c>
      <c r="I43" s="189"/>
      <c r="J43" s="189"/>
      <c r="K43" s="189"/>
      <c r="L43" s="189"/>
      <c r="M43" s="189"/>
      <c r="N43" s="189"/>
      <c r="O43" s="189"/>
      <c r="P43" s="189"/>
      <c r="Q43" s="189"/>
      <c r="R43" s="189"/>
      <c r="S43" s="189"/>
    </row>
    <row r="44" spans="2:19" x14ac:dyDescent="0.25">
      <c r="I44" s="189"/>
      <c r="J44" s="189"/>
      <c r="K44" s="189"/>
      <c r="L44" s="189"/>
      <c r="M44" s="189"/>
      <c r="N44" s="189"/>
      <c r="O44" s="189"/>
      <c r="P44" s="189"/>
      <c r="Q44" s="189"/>
      <c r="R44" s="189"/>
      <c r="S44" s="189"/>
    </row>
    <row r="45" spans="2:19" x14ac:dyDescent="0.25">
      <c r="I45" s="189"/>
      <c r="J45" s="189"/>
      <c r="K45" s="189"/>
      <c r="L45" s="189"/>
      <c r="M45" s="189"/>
      <c r="N45" s="189"/>
      <c r="O45" s="189"/>
      <c r="P45" s="189"/>
      <c r="Q45" s="189"/>
      <c r="R45" s="189"/>
      <c r="S45" s="189"/>
    </row>
    <row r="46" spans="2:19" x14ac:dyDescent="0.25">
      <c r="I46" s="189"/>
      <c r="J46" s="189"/>
      <c r="K46" s="189"/>
      <c r="L46" s="189"/>
      <c r="M46" s="189"/>
      <c r="N46" s="189"/>
      <c r="O46" s="189"/>
      <c r="P46" s="189"/>
      <c r="Q46" s="189"/>
      <c r="R46" s="189"/>
      <c r="S46" s="189"/>
    </row>
    <row r="47" spans="2:19" x14ac:dyDescent="0.25">
      <c r="I47" s="189"/>
      <c r="J47" s="189"/>
      <c r="K47" s="189"/>
      <c r="L47" s="189"/>
      <c r="M47" s="189"/>
      <c r="N47" s="189"/>
      <c r="O47" s="189"/>
      <c r="P47" s="189"/>
      <c r="Q47" s="189"/>
      <c r="R47" s="189"/>
      <c r="S47" s="189"/>
    </row>
    <row r="48" spans="2:19" x14ac:dyDescent="0.25">
      <c r="I48" s="189"/>
      <c r="J48" s="189"/>
      <c r="K48" s="189"/>
      <c r="L48" s="189"/>
      <c r="M48" s="189"/>
      <c r="N48" s="189"/>
      <c r="O48" s="189"/>
      <c r="P48" s="189"/>
      <c r="Q48" s="189"/>
      <c r="R48" s="189"/>
      <c r="S48" s="189"/>
    </row>
  </sheetData>
  <mergeCells count="12">
    <mergeCell ref="E8:G8"/>
    <mergeCell ref="E9:G9"/>
    <mergeCell ref="E10:G10"/>
    <mergeCell ref="E20:G20"/>
    <mergeCell ref="E21:G21"/>
    <mergeCell ref="E42:G42"/>
    <mergeCell ref="E43:G43"/>
    <mergeCell ref="E22:G22"/>
    <mergeCell ref="E30:G30"/>
    <mergeCell ref="E31:G31"/>
    <mergeCell ref="E32:G32"/>
    <mergeCell ref="E41:G41"/>
  </mergeCells>
  <hyperlinks>
    <hyperlink ref="Q3" r:id="rId1" display="https://www.magazineluiza.com.br/cloro-de-piscinas-hth-10-em-1-granulado-multi-acao-hipoclorito-balde-10kg/p/hhbb8gee44/cj/clcp/?&amp;seller_id=lojaprapiscinas&amp;utm_source=bing&amp;utm_medium=pla&amp;utm_campaign=&amp;partner_id=65137&amp;gclsrc=aw.ds&amp;msclkid=10bac0914f2313b2b9efa273c889e307" xr:uid="{00000000-0004-0000-0E00-000000000000}"/>
    <hyperlink ref="Q4" r:id="rId2" display="https://produto.mercadolivre.com.br/MLB-2093359741-hipoclorito-de-calcio-cloro-granulado-65-balde-azul-domclor-_JM?matt_tool=47780295&amp;matt_word=&amp;matt_source=google&amp;matt_campaign_id=14302215540&amp;matt_ad_group_id=134553704548&amp;matt_match_type=&amp;matt_network=g&amp;matt_device=c&amp;matt_creative=539425529179&amp;matt_keyword=&amp;matt_ad_position=&amp;matt_ad_type=pla&amp;matt_merchant_id=523765505&amp;matt_product_id=MLB2093359741&amp;matt_product_partition_id=1404591628519&amp;matt_target_id=aud-1454065851347:pla-1404591628519&amp;gclid=CjwKCAiAvaGRBhBlEiwAiY-yMESbaDhI98r58Yn6MeUy62CZR4EKMCsGvConlGb0_tqVPI-If5zJkBoCp0YQAvD_BwE" xr:uid="{00000000-0004-0000-0E00-000001000000}"/>
    <hyperlink ref="Q5" r:id="rId3" xr:uid="{00000000-0004-0000-0E00-000002000000}"/>
  </hyperlinks>
  <pageMargins left="0.51180555555555496" right="0.51180555555555496" top="0.78749999999999998" bottom="0.78749999999999998" header="0.51180555555555496" footer="0.51180555555555496"/>
  <pageSetup paperSize="9" scale="80" firstPageNumber="0" orientation="landscape" r:id="rId4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J10"/>
  <sheetViews>
    <sheetView zoomScaleNormal="100" workbookViewId="0">
      <selection activeCell="E14" sqref="E14"/>
    </sheetView>
  </sheetViews>
  <sheetFormatPr defaultColWidth="8.42578125" defaultRowHeight="15" x14ac:dyDescent="0.25"/>
  <cols>
    <col min="1" max="1" width="12.42578125" customWidth="1"/>
    <col min="2" max="2" width="11.7109375" customWidth="1"/>
    <col min="3" max="3" width="63.42578125" customWidth="1"/>
    <col min="5" max="5" width="17" customWidth="1"/>
    <col min="6" max="6" width="19.7109375" customWidth="1"/>
    <col min="7" max="7" width="14.42578125" customWidth="1"/>
  </cols>
  <sheetData>
    <row r="2" spans="1:10" ht="49.5" customHeight="1" x14ac:dyDescent="0.25">
      <c r="A2" s="21" t="s">
        <v>305</v>
      </c>
      <c r="B2" s="21" t="s">
        <v>75</v>
      </c>
      <c r="C2" s="22" t="s">
        <v>164</v>
      </c>
      <c r="D2" s="21" t="s">
        <v>23</v>
      </c>
      <c r="E2" s="23" t="s">
        <v>77</v>
      </c>
      <c r="F2" s="24" t="s">
        <v>78</v>
      </c>
      <c r="G2" s="25" t="s">
        <v>4</v>
      </c>
      <c r="H2" s="100" t="s">
        <v>183</v>
      </c>
      <c r="I2" s="100"/>
      <c r="J2" s="100"/>
    </row>
    <row r="3" spans="1:10" x14ac:dyDescent="0.25">
      <c r="A3" s="26" t="s">
        <v>79</v>
      </c>
      <c r="B3" s="27">
        <v>88316</v>
      </c>
      <c r="C3" s="101" t="s">
        <v>81</v>
      </c>
      <c r="D3" s="27" t="s">
        <v>23</v>
      </c>
      <c r="E3" s="29">
        <v>12</v>
      </c>
      <c r="F3" s="30">
        <v>17.43</v>
      </c>
      <c r="G3" s="31">
        <f>ROUND(E3*F3,2)</f>
        <v>209.16</v>
      </c>
      <c r="H3" s="100">
        <v>16.329999999999998</v>
      </c>
      <c r="I3" s="100"/>
      <c r="J3" s="100"/>
    </row>
    <row r="4" spans="1:10" x14ac:dyDescent="0.25">
      <c r="A4" s="102" t="s">
        <v>169</v>
      </c>
      <c r="B4" s="27" t="s">
        <v>169</v>
      </c>
      <c r="C4" s="101" t="s">
        <v>170</v>
      </c>
      <c r="D4" s="27" t="s">
        <v>126</v>
      </c>
      <c r="E4" s="29">
        <v>1.3080000000000001</v>
      </c>
      <c r="F4" s="30">
        <f>'Limp. Sanitária 01'!P8</f>
        <v>42.884</v>
      </c>
      <c r="G4" s="31">
        <f>ROUND(E4*F4,2)</f>
        <v>56.09</v>
      </c>
      <c r="H4" s="100"/>
      <c r="I4" s="100">
        <v>57.84</v>
      </c>
      <c r="J4" s="100"/>
    </row>
    <row r="5" spans="1:10" ht="54" customHeight="1" x14ac:dyDescent="0.25">
      <c r="A5" s="26" t="s">
        <v>79</v>
      </c>
      <c r="B5" s="56">
        <v>90978</v>
      </c>
      <c r="C5" s="57" t="s">
        <v>173</v>
      </c>
      <c r="D5" s="27" t="s">
        <v>23</v>
      </c>
      <c r="E5" s="29">
        <v>12</v>
      </c>
      <c r="F5" s="30">
        <v>188.16</v>
      </c>
      <c r="G5" s="31">
        <f>F5*E5</f>
        <v>2257.92</v>
      </c>
      <c r="H5" s="100">
        <v>176.25</v>
      </c>
      <c r="I5" s="100"/>
      <c r="J5" s="100"/>
    </row>
    <row r="6" spans="1:10" ht="37.5" customHeight="1" x14ac:dyDescent="0.25">
      <c r="A6" s="26" t="s">
        <v>79</v>
      </c>
      <c r="B6" s="32">
        <v>88292</v>
      </c>
      <c r="C6" s="28" t="s">
        <v>117</v>
      </c>
      <c r="D6" s="34" t="s">
        <v>23</v>
      </c>
      <c r="E6" s="29">
        <v>12</v>
      </c>
      <c r="F6" s="30">
        <v>23.53</v>
      </c>
      <c r="G6" s="31">
        <f>F6*E6</f>
        <v>282.36</v>
      </c>
      <c r="H6" s="100">
        <v>20.48</v>
      </c>
      <c r="I6" s="100"/>
      <c r="J6" s="100"/>
    </row>
    <row r="7" spans="1:10" ht="27.75" customHeight="1" x14ac:dyDescent="0.25">
      <c r="A7" s="26" t="s">
        <v>82</v>
      </c>
      <c r="B7" s="32" t="s">
        <v>83</v>
      </c>
      <c r="C7" s="28" t="s">
        <v>84</v>
      </c>
      <c r="D7" s="34" t="s">
        <v>85</v>
      </c>
      <c r="E7" s="29">
        <v>12</v>
      </c>
      <c r="F7" s="30">
        <v>7.63</v>
      </c>
      <c r="G7" s="31">
        <f>F7*E7</f>
        <v>91.56</v>
      </c>
      <c r="H7" s="100">
        <v>1.76</v>
      </c>
      <c r="I7" s="100"/>
      <c r="J7" s="100"/>
    </row>
    <row r="8" spans="1:10" x14ac:dyDescent="0.25">
      <c r="A8" s="48"/>
      <c r="B8" s="9"/>
      <c r="C8" s="101"/>
      <c r="D8" s="206" t="s">
        <v>93</v>
      </c>
      <c r="E8" s="206"/>
      <c r="F8" s="206"/>
      <c r="G8" s="37">
        <f>ROUND((SUM(G3:G7)),2)</f>
        <v>2897.09</v>
      </c>
      <c r="H8" s="105">
        <f>SUM(H7,H6,H5,H3)</f>
        <v>214.82</v>
      </c>
      <c r="I8" s="100"/>
      <c r="J8" s="100"/>
    </row>
    <row r="9" spans="1:10" x14ac:dyDescent="0.25">
      <c r="A9" s="49"/>
      <c r="B9" s="50"/>
      <c r="C9" s="104"/>
      <c r="D9" s="206" t="str">
        <f>"BDI ( " &amp;TEXT('[1]CPU-Instalação'!$H$8,"0,00") &amp;" ) %:"</f>
        <v>BDI ( 23,75 ) %:</v>
      </c>
      <c r="E9" s="206"/>
      <c r="F9" s="206"/>
      <c r="G9" s="39">
        <f>G8*23.75%</f>
        <v>688.05887500000006</v>
      </c>
      <c r="H9" s="100">
        <f>H8*23.75%</f>
        <v>51.019749999999995</v>
      </c>
      <c r="I9" s="100">
        <f>I4*23.75%</f>
        <v>13.737</v>
      </c>
      <c r="J9" s="100"/>
    </row>
    <row r="10" spans="1:10" x14ac:dyDescent="0.25">
      <c r="A10" s="52"/>
      <c r="B10" s="53"/>
      <c r="C10" s="54"/>
      <c r="D10" s="207" t="s">
        <v>94</v>
      </c>
      <c r="E10" s="207"/>
      <c r="F10" s="207"/>
      <c r="G10" s="42">
        <f>ROUND(SUM(G8:G9),2)</f>
        <v>3585.15</v>
      </c>
      <c r="H10" s="105">
        <f>SUM(H8+H9)</f>
        <v>265.83974999999998</v>
      </c>
      <c r="I10" s="100">
        <f>I9+I4</f>
        <v>71.576999999999998</v>
      </c>
      <c r="J10" s="100">
        <f>H10*12+I10</f>
        <v>3261.6539999999995</v>
      </c>
    </row>
  </sheetData>
  <mergeCells count="3">
    <mergeCell ref="D8:F8"/>
    <mergeCell ref="D9:F9"/>
    <mergeCell ref="D10:F10"/>
  </mergeCells>
  <pageMargins left="0.51180555555555496" right="0.51180555555555496" top="0.78749999999999998" bottom="0.78749999999999998" header="0.51180555555555496" footer="0.51180555555555496"/>
  <pageSetup paperSize="9" scale="85" firstPageNumber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41"/>
  <sheetViews>
    <sheetView zoomScaleNormal="100" workbookViewId="0">
      <selection activeCell="I20" sqref="I20"/>
    </sheetView>
  </sheetViews>
  <sheetFormatPr defaultColWidth="8.42578125" defaultRowHeight="15" x14ac:dyDescent="0.25"/>
  <cols>
    <col min="2" max="2" width="48.28515625" customWidth="1"/>
    <col min="3" max="3" width="9.28515625" bestFit="1" customWidth="1"/>
    <col min="5" max="5" width="9.85546875" customWidth="1"/>
    <col min="8" max="8" width="16.85546875" customWidth="1"/>
  </cols>
  <sheetData>
    <row r="1" spans="1:8" ht="16.5" customHeight="1" x14ac:dyDescent="0.25">
      <c r="A1" s="237" t="s">
        <v>184</v>
      </c>
      <c r="B1" s="237"/>
      <c r="C1" s="237"/>
      <c r="D1" s="237"/>
      <c r="E1" s="237"/>
      <c r="F1" s="237"/>
      <c r="G1" s="237"/>
      <c r="H1" s="237"/>
    </row>
    <row r="2" spans="1:8" ht="16.5" customHeight="1" x14ac:dyDescent="0.25">
      <c r="A2" s="238" t="s">
        <v>185</v>
      </c>
      <c r="B2" s="238"/>
      <c r="C2" s="238"/>
      <c r="D2" s="238"/>
      <c r="E2" s="238"/>
      <c r="F2" s="238"/>
      <c r="G2" s="238"/>
      <c r="H2" s="238"/>
    </row>
    <row r="3" spans="1:8" ht="16.5" customHeight="1" x14ac:dyDescent="0.25">
      <c r="A3" s="238" t="s">
        <v>186</v>
      </c>
      <c r="B3" s="238"/>
      <c r="C3" s="238"/>
      <c r="D3" s="238"/>
      <c r="E3" s="238"/>
      <c r="F3" s="238"/>
      <c r="G3" s="238"/>
      <c r="H3" s="238"/>
    </row>
    <row r="4" spans="1:8" ht="16.5" x14ac:dyDescent="0.25">
      <c r="A4" s="238"/>
      <c r="B4" s="238"/>
      <c r="C4" s="238"/>
      <c r="D4" s="238"/>
      <c r="E4" s="238"/>
      <c r="F4" s="238"/>
      <c r="G4" s="238"/>
      <c r="H4" s="238"/>
    </row>
    <row r="5" spans="1:8" ht="16.5" x14ac:dyDescent="0.25">
      <c r="A5" s="106"/>
      <c r="B5" s="1"/>
      <c r="C5" s="1"/>
      <c r="D5" s="1"/>
      <c r="E5" s="1"/>
      <c r="F5" s="1"/>
      <c r="G5" s="107"/>
      <c r="H5" s="107"/>
    </row>
    <row r="6" spans="1:8" ht="18" x14ac:dyDescent="0.25">
      <c r="A6" s="239" t="s">
        <v>187</v>
      </c>
      <c r="B6" s="239"/>
      <c r="C6" s="239"/>
      <c r="D6" s="239"/>
      <c r="E6" s="239"/>
      <c r="F6" s="239"/>
      <c r="G6" s="239"/>
      <c r="H6" s="239"/>
    </row>
    <row r="7" spans="1:8" ht="18" x14ac:dyDescent="0.25">
      <c r="A7" s="228" t="s">
        <v>315</v>
      </c>
      <c r="B7" s="228"/>
      <c r="C7" s="228"/>
      <c r="D7" s="228"/>
      <c r="E7" s="228"/>
      <c r="F7" s="228"/>
      <c r="G7" s="228"/>
      <c r="H7" s="228"/>
    </row>
    <row r="8" spans="1:8" ht="36.75" customHeight="1" x14ac:dyDescent="0.25">
      <c r="A8" s="229" t="s">
        <v>188</v>
      </c>
      <c r="B8" s="229"/>
      <c r="C8" s="229"/>
      <c r="D8" s="229"/>
      <c r="E8" s="229"/>
      <c r="F8" s="229"/>
      <c r="G8" s="229"/>
      <c r="H8" s="229"/>
    </row>
    <row r="9" spans="1:8" ht="15.75" customHeight="1" x14ac:dyDescent="0.25">
      <c r="A9" s="230" t="s">
        <v>189</v>
      </c>
      <c r="B9" s="230"/>
      <c r="C9" s="230"/>
      <c r="D9" s="230"/>
      <c r="E9" s="230"/>
      <c r="F9" s="230"/>
      <c r="G9" s="230"/>
      <c r="H9" s="230"/>
    </row>
    <row r="10" spans="1:8" x14ac:dyDescent="0.25">
      <c r="A10" s="231" t="s">
        <v>190</v>
      </c>
      <c r="B10" s="231"/>
      <c r="C10" s="231"/>
      <c r="D10" s="231"/>
      <c r="E10" s="231"/>
      <c r="F10" s="231"/>
      <c r="G10" s="231"/>
      <c r="H10" s="231"/>
    </row>
    <row r="11" spans="1:8" x14ac:dyDescent="0.25">
      <c r="A11" s="108"/>
      <c r="B11" s="109"/>
      <c r="C11" s="109"/>
      <c r="D11" s="109"/>
      <c r="E11" s="109"/>
      <c r="F11" s="110"/>
      <c r="G11" s="110"/>
      <c r="H11" s="111"/>
    </row>
    <row r="12" spans="1:8" ht="15.75" customHeight="1" x14ac:dyDescent="0.25">
      <c r="A12" s="231" t="s">
        <v>191</v>
      </c>
      <c r="B12" s="231"/>
      <c r="C12" s="231"/>
      <c r="D12" s="109"/>
      <c r="E12" s="232" t="s">
        <v>192</v>
      </c>
      <c r="F12" s="232"/>
      <c r="G12" s="232"/>
      <c r="H12" s="232"/>
    </row>
    <row r="13" spans="1:8" x14ac:dyDescent="0.25">
      <c r="A13" s="233" t="s">
        <v>19</v>
      </c>
      <c r="B13" s="234" t="s">
        <v>193</v>
      </c>
      <c r="C13" s="235" t="s">
        <v>194</v>
      </c>
      <c r="D13" s="112"/>
      <c r="E13" s="232"/>
      <c r="F13" s="232"/>
      <c r="G13" s="232"/>
      <c r="H13" s="232"/>
    </row>
    <row r="14" spans="1:8" x14ac:dyDescent="0.25">
      <c r="A14" s="233"/>
      <c r="B14" s="234"/>
      <c r="C14" s="235"/>
      <c r="D14" s="112"/>
      <c r="E14" s="113" t="s">
        <v>195</v>
      </c>
      <c r="F14" s="236" t="s">
        <v>196</v>
      </c>
      <c r="G14" s="236"/>
      <c r="H14" s="114" t="s">
        <v>197</v>
      </c>
    </row>
    <row r="15" spans="1:8" x14ac:dyDescent="0.25">
      <c r="A15" s="226"/>
      <c r="B15" s="226"/>
      <c r="C15" s="226"/>
      <c r="D15" s="115"/>
      <c r="E15" s="115"/>
      <c r="F15" s="110"/>
      <c r="G15" s="110"/>
      <c r="H15" s="111"/>
    </row>
    <row r="16" spans="1:8" ht="15" customHeight="1" x14ac:dyDescent="0.25">
      <c r="A16" s="116" t="s">
        <v>198</v>
      </c>
      <c r="B16" s="218" t="s">
        <v>199</v>
      </c>
      <c r="C16" s="218"/>
      <c r="D16" s="117"/>
      <c r="E16" s="118"/>
      <c r="F16" s="227"/>
      <c r="G16" s="227"/>
      <c r="H16" s="119"/>
    </row>
    <row r="17" spans="1:8" x14ac:dyDescent="0.25">
      <c r="A17" s="120" t="s">
        <v>200</v>
      </c>
      <c r="B17" s="121" t="s">
        <v>201</v>
      </c>
      <c r="C17" s="122">
        <v>3.0000000000000001E-3</v>
      </c>
      <c r="D17" s="123"/>
      <c r="E17" s="124">
        <v>2.8E-3</v>
      </c>
      <c r="F17" s="224">
        <v>4.8999999999999998E-3</v>
      </c>
      <c r="G17" s="224"/>
      <c r="H17" s="125">
        <v>7.4999999999999997E-3</v>
      </c>
    </row>
    <row r="18" spans="1:8" x14ac:dyDescent="0.25">
      <c r="A18" s="120" t="s">
        <v>202</v>
      </c>
      <c r="B18" s="121" t="s">
        <v>203</v>
      </c>
      <c r="C18" s="122">
        <v>0.01</v>
      </c>
      <c r="D18" s="123"/>
      <c r="E18" s="124">
        <v>0.01</v>
      </c>
      <c r="F18" s="224">
        <v>1.3899999999999999E-2</v>
      </c>
      <c r="G18" s="224"/>
      <c r="H18" s="125">
        <v>1.7399999999999999E-2</v>
      </c>
    </row>
    <row r="19" spans="1:8" x14ac:dyDescent="0.25">
      <c r="A19" s="120" t="s">
        <v>204</v>
      </c>
      <c r="B19" s="121" t="s">
        <v>205</v>
      </c>
      <c r="C19" s="122">
        <v>0.01</v>
      </c>
      <c r="D19" s="123"/>
      <c r="E19" s="124">
        <v>9.4000000000000004E-3</v>
      </c>
      <c r="F19" s="224">
        <v>9.9000000000000008E-3</v>
      </c>
      <c r="G19" s="224"/>
      <c r="H19" s="125">
        <v>1.17E-2</v>
      </c>
    </row>
    <row r="20" spans="1:8" x14ac:dyDescent="0.25">
      <c r="A20" s="120" t="s">
        <v>206</v>
      </c>
      <c r="B20" s="121" t="s">
        <v>207</v>
      </c>
      <c r="C20" s="122">
        <v>3.5000000000000003E-2</v>
      </c>
      <c r="D20" s="123"/>
      <c r="E20" s="124">
        <v>3.4299999999999997E-2</v>
      </c>
      <c r="F20" s="224">
        <v>4.9299999999999997E-2</v>
      </c>
      <c r="G20" s="224"/>
      <c r="H20" s="125">
        <v>6.7100000000000007E-2</v>
      </c>
    </row>
    <row r="21" spans="1:8" x14ac:dyDescent="0.25">
      <c r="A21" s="217" t="s">
        <v>208</v>
      </c>
      <c r="B21" s="217"/>
      <c r="C21" s="126">
        <f>SUM(C17:C20)</f>
        <v>5.8000000000000003E-2</v>
      </c>
      <c r="D21" s="127"/>
      <c r="E21" s="128"/>
      <c r="F21" s="225"/>
      <c r="G21" s="225"/>
      <c r="H21" s="129"/>
    </row>
    <row r="22" spans="1:8" x14ac:dyDescent="0.25">
      <c r="A22" s="209"/>
      <c r="B22" s="209"/>
      <c r="C22" s="209"/>
      <c r="D22" s="131"/>
      <c r="E22" s="123"/>
      <c r="F22" s="123"/>
      <c r="G22" s="123"/>
      <c r="H22" s="132"/>
    </row>
    <row r="23" spans="1:8" ht="15" customHeight="1" x14ac:dyDescent="0.25">
      <c r="A23" s="116" t="s">
        <v>209</v>
      </c>
      <c r="B23" s="218" t="s">
        <v>210</v>
      </c>
      <c r="C23" s="218"/>
      <c r="D23" s="117"/>
      <c r="E23" s="133"/>
      <c r="F23" s="223"/>
      <c r="G23" s="223"/>
      <c r="H23" s="134"/>
    </row>
    <row r="24" spans="1:8" x14ac:dyDescent="0.25">
      <c r="A24" s="120" t="s">
        <v>211</v>
      </c>
      <c r="B24" s="121" t="s">
        <v>212</v>
      </c>
      <c r="C24" s="122">
        <v>6.8000000000000005E-2</v>
      </c>
      <c r="D24" s="123"/>
      <c r="E24" s="124">
        <v>6.7400000000000002E-2</v>
      </c>
      <c r="F24" s="224">
        <v>8.0399999999999999E-2</v>
      </c>
      <c r="G24" s="224"/>
      <c r="H24" s="125">
        <v>9.4E-2</v>
      </c>
    </row>
    <row r="25" spans="1:8" x14ac:dyDescent="0.25">
      <c r="A25" s="217" t="s">
        <v>213</v>
      </c>
      <c r="B25" s="217"/>
      <c r="C25" s="126">
        <f>SUM(C24)</f>
        <v>6.8000000000000005E-2</v>
      </c>
      <c r="D25" s="127"/>
      <c r="E25" s="128"/>
      <c r="F25" s="225"/>
      <c r="G25" s="225"/>
      <c r="H25" s="129"/>
    </row>
    <row r="26" spans="1:8" x14ac:dyDescent="0.25">
      <c r="A26" s="209"/>
      <c r="B26" s="209"/>
      <c r="C26" s="209"/>
      <c r="D26" s="131"/>
      <c r="E26" s="123"/>
      <c r="F26" s="123"/>
      <c r="G26" s="123"/>
      <c r="H26" s="132"/>
    </row>
    <row r="27" spans="1:8" ht="15" customHeight="1" x14ac:dyDescent="0.25">
      <c r="A27" s="116" t="s">
        <v>214</v>
      </c>
      <c r="B27" s="218" t="s">
        <v>215</v>
      </c>
      <c r="C27" s="218"/>
      <c r="D27" s="117"/>
      <c r="E27" s="219" t="s">
        <v>216</v>
      </c>
      <c r="F27" s="219"/>
      <c r="G27" s="219"/>
      <c r="H27" s="219"/>
    </row>
    <row r="28" spans="1:8" ht="15" customHeight="1" x14ac:dyDescent="0.25">
      <c r="A28" s="120" t="s">
        <v>217</v>
      </c>
      <c r="B28" s="121" t="s">
        <v>218</v>
      </c>
      <c r="C28" s="122">
        <v>6.4999999999999997E-3</v>
      </c>
      <c r="D28" s="123"/>
      <c r="E28" s="220" t="s">
        <v>219</v>
      </c>
      <c r="F28" s="221" t="s">
        <v>220</v>
      </c>
      <c r="G28" s="221"/>
      <c r="H28" s="222" t="s">
        <v>221</v>
      </c>
    </row>
    <row r="29" spans="1:8" x14ac:dyDescent="0.25">
      <c r="A29" s="120" t="s">
        <v>222</v>
      </c>
      <c r="B29" s="121" t="s">
        <v>223</v>
      </c>
      <c r="C29" s="122">
        <v>0.03</v>
      </c>
      <c r="D29" s="123"/>
      <c r="E29" s="220"/>
      <c r="F29" s="221"/>
      <c r="G29" s="221"/>
      <c r="H29" s="222"/>
    </row>
    <row r="30" spans="1:8" x14ac:dyDescent="0.25">
      <c r="A30" s="213" t="s">
        <v>224</v>
      </c>
      <c r="B30" s="214" t="s">
        <v>225</v>
      </c>
      <c r="C30" s="215">
        <v>0.05</v>
      </c>
      <c r="D30" s="123"/>
      <c r="E30" s="135"/>
      <c r="F30" s="123"/>
      <c r="G30" s="123"/>
      <c r="H30" s="132"/>
    </row>
    <row r="31" spans="1:8" x14ac:dyDescent="0.25">
      <c r="A31" s="213"/>
      <c r="B31" s="214"/>
      <c r="C31" s="215"/>
      <c r="D31" s="123"/>
      <c r="E31" s="136">
        <v>0.05</v>
      </c>
      <c r="F31" s="216">
        <v>0.7</v>
      </c>
      <c r="G31" s="216"/>
      <c r="H31" s="137">
        <f>E31*F31</f>
        <v>3.4999999999999996E-2</v>
      </c>
    </row>
    <row r="32" spans="1:8" x14ac:dyDescent="0.25">
      <c r="A32" s="138" t="s">
        <v>226</v>
      </c>
      <c r="B32" s="139" t="s">
        <v>227</v>
      </c>
      <c r="C32" s="140"/>
      <c r="D32" s="123"/>
      <c r="E32" s="141"/>
      <c r="F32" s="141"/>
      <c r="G32" s="141"/>
      <c r="H32" s="142"/>
    </row>
    <row r="33" spans="1:8" x14ac:dyDescent="0.25">
      <c r="A33" s="217" t="s">
        <v>228</v>
      </c>
      <c r="B33" s="217"/>
      <c r="C33" s="126">
        <f>SUM(C28:C32)</f>
        <v>8.6499999999999994E-2</v>
      </c>
      <c r="D33" s="127"/>
      <c r="E33" s="141"/>
      <c r="F33" s="141"/>
      <c r="G33" s="141"/>
      <c r="H33" s="142"/>
    </row>
    <row r="34" spans="1:8" x14ac:dyDescent="0.25">
      <c r="A34" s="209"/>
      <c r="B34" s="209"/>
      <c r="C34" s="209"/>
      <c r="D34" s="131"/>
      <c r="E34" s="141"/>
      <c r="F34" s="141"/>
      <c r="G34" s="141"/>
      <c r="H34" s="142"/>
    </row>
    <row r="35" spans="1:8" x14ac:dyDescent="0.25">
      <c r="A35" s="143"/>
      <c r="B35" s="117" t="s">
        <v>229</v>
      </c>
      <c r="C35" s="144"/>
      <c r="D35" s="144"/>
      <c r="E35" s="141"/>
      <c r="F35" s="141"/>
      <c r="G35" s="141"/>
      <c r="H35" s="142"/>
    </row>
    <row r="36" spans="1:8" x14ac:dyDescent="0.25">
      <c r="A36" s="130"/>
      <c r="B36" s="131"/>
      <c r="C36" s="131"/>
      <c r="D36" s="131"/>
      <c r="E36" s="141"/>
      <c r="F36" s="141"/>
      <c r="G36" s="141"/>
      <c r="H36" s="142"/>
    </row>
    <row r="37" spans="1:8" x14ac:dyDescent="0.25">
      <c r="A37" s="210" t="s">
        <v>230</v>
      </c>
      <c r="B37" s="210"/>
      <c r="C37" s="210"/>
      <c r="D37" s="145"/>
      <c r="E37" s="141"/>
      <c r="F37" s="141"/>
      <c r="G37" s="141"/>
      <c r="H37" s="142"/>
    </row>
    <row r="38" spans="1:8" x14ac:dyDescent="0.25">
      <c r="A38" s="210"/>
      <c r="B38" s="210"/>
      <c r="C38" s="210"/>
      <c r="D38" s="145"/>
      <c r="E38" s="141"/>
      <c r="F38" s="141"/>
      <c r="G38" s="141"/>
      <c r="H38" s="142"/>
    </row>
    <row r="39" spans="1:8" x14ac:dyDescent="0.25">
      <c r="A39" s="146"/>
      <c r="B39" s="147"/>
      <c r="C39" s="148"/>
      <c r="D39" s="148"/>
      <c r="E39" s="141"/>
      <c r="F39" s="141"/>
      <c r="G39" s="141"/>
      <c r="H39" s="142"/>
    </row>
    <row r="40" spans="1:8" ht="15.75" x14ac:dyDescent="0.25">
      <c r="A40" s="211" t="s">
        <v>231</v>
      </c>
      <c r="B40" s="211"/>
      <c r="C40" s="212">
        <f>(((1+C20+C17+C18)*(1+C19)*(1+C25))/(1-C33))-1</f>
        <v>0.23750042692939255</v>
      </c>
      <c r="D40" s="149"/>
      <c r="E40" s="141"/>
      <c r="F40" s="141"/>
      <c r="G40" s="141"/>
      <c r="H40" s="142"/>
    </row>
    <row r="41" spans="1:8" ht="15.75" x14ac:dyDescent="0.25">
      <c r="A41" s="211"/>
      <c r="B41" s="211"/>
      <c r="C41" s="212"/>
      <c r="D41" s="150"/>
      <c r="E41" s="151"/>
      <c r="F41" s="151"/>
      <c r="G41" s="151"/>
      <c r="H41" s="152"/>
    </row>
  </sheetData>
  <mergeCells count="45">
    <mergeCell ref="A1:H1"/>
    <mergeCell ref="A2:H2"/>
    <mergeCell ref="A3:H3"/>
    <mergeCell ref="A4:H4"/>
    <mergeCell ref="A6:H6"/>
    <mergeCell ref="A7:H7"/>
    <mergeCell ref="A8:H8"/>
    <mergeCell ref="A9:H9"/>
    <mergeCell ref="A10:H10"/>
    <mergeCell ref="A12:C12"/>
    <mergeCell ref="E12:H13"/>
    <mergeCell ref="A13:A14"/>
    <mergeCell ref="B13:B14"/>
    <mergeCell ref="C13:C14"/>
    <mergeCell ref="F14:G14"/>
    <mergeCell ref="A15:C15"/>
    <mergeCell ref="B16:C16"/>
    <mergeCell ref="F16:G16"/>
    <mergeCell ref="F17:G17"/>
    <mergeCell ref="F18:G18"/>
    <mergeCell ref="F19:G19"/>
    <mergeCell ref="F20:G20"/>
    <mergeCell ref="A21:B21"/>
    <mergeCell ref="F21:G21"/>
    <mergeCell ref="A22:C22"/>
    <mergeCell ref="B23:C23"/>
    <mergeCell ref="F23:G23"/>
    <mergeCell ref="F24:G24"/>
    <mergeCell ref="A25:B25"/>
    <mergeCell ref="F25:G25"/>
    <mergeCell ref="F31:G31"/>
    <mergeCell ref="A33:B33"/>
    <mergeCell ref="A26:C26"/>
    <mergeCell ref="B27:C27"/>
    <mergeCell ref="E27:H27"/>
    <mergeCell ref="E28:E29"/>
    <mergeCell ref="F28:G29"/>
    <mergeCell ref="H28:H29"/>
    <mergeCell ref="A34:C34"/>
    <mergeCell ref="A37:C38"/>
    <mergeCell ref="A40:B41"/>
    <mergeCell ref="C40:C41"/>
    <mergeCell ref="A30:A31"/>
    <mergeCell ref="B30:B31"/>
    <mergeCell ref="C30:C31"/>
  </mergeCells>
  <pageMargins left="0.51180555555555496" right="0.51180555555555496" top="0.78749999999999998" bottom="0.78749999999999998" header="0.51180555555555496" footer="0.51180555555555496"/>
  <pageSetup paperSize="9" scale="70" firstPageNumber="0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49"/>
  <sheetViews>
    <sheetView zoomScaleNormal="100" workbookViewId="0">
      <selection activeCell="G7" sqref="G7"/>
    </sheetView>
  </sheetViews>
  <sheetFormatPr defaultColWidth="8.42578125" defaultRowHeight="15" x14ac:dyDescent="0.25"/>
  <cols>
    <col min="1" max="1" width="15" customWidth="1"/>
    <col min="2" max="2" width="23" customWidth="1"/>
    <col min="6" max="6" width="12.42578125" customWidth="1"/>
    <col min="7" max="7" width="34" customWidth="1"/>
  </cols>
  <sheetData>
    <row r="1" spans="1:7" ht="30" customHeight="1" x14ac:dyDescent="0.25">
      <c r="A1" s="153" t="s">
        <v>232</v>
      </c>
      <c r="B1" s="154"/>
      <c r="C1" s="253" t="s">
        <v>233</v>
      </c>
      <c r="D1" s="253"/>
      <c r="E1" s="253"/>
      <c r="F1" s="253"/>
      <c r="G1" s="253"/>
    </row>
    <row r="2" spans="1:7" ht="16.5" customHeight="1" x14ac:dyDescent="0.25">
      <c r="A2" s="254" t="s">
        <v>234</v>
      </c>
      <c r="B2" s="254"/>
      <c r="C2" s="254"/>
      <c r="D2" s="254"/>
      <c r="E2" s="254"/>
      <c r="F2" s="254"/>
      <c r="G2" s="254"/>
    </row>
    <row r="3" spans="1:7" ht="16.5" customHeight="1" x14ac:dyDescent="0.25">
      <c r="A3" s="255" t="s">
        <v>235</v>
      </c>
      <c r="B3" s="255"/>
      <c r="C3" s="255"/>
      <c r="D3" s="255"/>
      <c r="E3" s="255"/>
      <c r="F3" s="255"/>
      <c r="G3" s="255"/>
    </row>
    <row r="4" spans="1:7" ht="16.5" x14ac:dyDescent="0.25">
      <c r="A4" s="254"/>
      <c r="B4" s="254"/>
      <c r="C4" s="254"/>
      <c r="D4" s="254"/>
      <c r="E4" s="254"/>
      <c r="F4" s="254"/>
      <c r="G4" s="254"/>
    </row>
    <row r="5" spans="1:7" ht="16.5" x14ac:dyDescent="0.25">
      <c r="A5" s="155"/>
      <c r="B5" s="1"/>
      <c r="C5" s="1"/>
      <c r="D5" s="1"/>
      <c r="E5" s="1"/>
      <c r="F5" s="1"/>
      <c r="G5" s="156"/>
    </row>
    <row r="6" spans="1:7" x14ac:dyDescent="0.25">
      <c r="A6" s="256" t="s">
        <v>236</v>
      </c>
      <c r="B6" s="256"/>
      <c r="C6" s="256"/>
      <c r="D6" s="256"/>
      <c r="E6" s="256"/>
      <c r="F6" s="256"/>
      <c r="G6" s="157" t="s">
        <v>237</v>
      </c>
    </row>
    <row r="7" spans="1:7" ht="18" x14ac:dyDescent="0.25">
      <c r="A7" s="256"/>
      <c r="B7" s="256"/>
      <c r="C7" s="256"/>
      <c r="D7" s="256"/>
      <c r="E7" s="256"/>
      <c r="F7" s="256"/>
      <c r="G7" s="158" t="s">
        <v>314</v>
      </c>
    </row>
    <row r="8" spans="1:7" ht="15.75" customHeight="1" x14ac:dyDescent="0.25">
      <c r="A8" s="249" t="s">
        <v>188</v>
      </c>
      <c r="B8" s="249"/>
      <c r="C8" s="249"/>
      <c r="D8" s="249"/>
      <c r="E8" s="249"/>
      <c r="F8" s="249"/>
      <c r="G8" s="159" t="s">
        <v>238</v>
      </c>
    </row>
    <row r="9" spans="1:7" ht="32.25" customHeight="1" x14ac:dyDescent="0.25">
      <c r="A9" s="249"/>
      <c r="B9" s="249"/>
      <c r="C9" s="249"/>
      <c r="D9" s="249"/>
      <c r="E9" s="249"/>
      <c r="F9" s="249"/>
      <c r="G9" s="160"/>
    </row>
    <row r="10" spans="1:7" x14ac:dyDescent="0.25">
      <c r="A10" s="250" t="s">
        <v>239</v>
      </c>
      <c r="B10" s="250"/>
      <c r="C10" s="250"/>
      <c r="D10" s="250"/>
      <c r="E10" s="250"/>
      <c r="F10" s="161" t="s">
        <v>240</v>
      </c>
      <c r="G10" s="162" t="s">
        <v>241</v>
      </c>
    </row>
    <row r="11" spans="1:7" x14ac:dyDescent="0.25">
      <c r="A11" s="163" t="s">
        <v>242</v>
      </c>
      <c r="B11" s="251" t="s">
        <v>243</v>
      </c>
      <c r="C11" s="251"/>
      <c r="D11" s="251"/>
      <c r="E11" s="251"/>
      <c r="F11" s="161" t="s">
        <v>244</v>
      </c>
      <c r="G11" s="164" t="s">
        <v>244</v>
      </c>
    </row>
    <row r="12" spans="1:7" x14ac:dyDescent="0.25">
      <c r="A12" s="165" t="s">
        <v>200</v>
      </c>
      <c r="B12" s="166" t="s">
        <v>245</v>
      </c>
      <c r="C12" s="167"/>
      <c r="D12" s="167"/>
      <c r="E12" s="167"/>
      <c r="F12" s="168">
        <v>0.2</v>
      </c>
      <c r="G12" s="169">
        <v>0.2</v>
      </c>
    </row>
    <row r="13" spans="1:7" x14ac:dyDescent="0.25">
      <c r="A13" s="165" t="s">
        <v>202</v>
      </c>
      <c r="B13" s="166" t="s">
        <v>246</v>
      </c>
      <c r="C13" s="167"/>
      <c r="D13" s="167"/>
      <c r="E13" s="167"/>
      <c r="F13" s="168">
        <v>1.4999999999999999E-2</v>
      </c>
      <c r="G13" s="169">
        <v>1.4999999999999999E-2</v>
      </c>
    </row>
    <row r="14" spans="1:7" x14ac:dyDescent="0.25">
      <c r="A14" s="165" t="s">
        <v>204</v>
      </c>
      <c r="B14" s="166" t="s">
        <v>247</v>
      </c>
      <c r="C14" s="167"/>
      <c r="D14" s="167"/>
      <c r="E14" s="167"/>
      <c r="F14" s="168">
        <v>0.01</v>
      </c>
      <c r="G14" s="169">
        <v>0.01</v>
      </c>
    </row>
    <row r="15" spans="1:7" x14ac:dyDescent="0.25">
      <c r="A15" s="165" t="s">
        <v>206</v>
      </c>
      <c r="B15" s="166" t="s">
        <v>248</v>
      </c>
      <c r="C15" s="167"/>
      <c r="D15" s="167"/>
      <c r="E15" s="167"/>
      <c r="F15" s="168">
        <v>2E-3</v>
      </c>
      <c r="G15" s="169">
        <v>2E-3</v>
      </c>
    </row>
    <row r="16" spans="1:7" x14ac:dyDescent="0.25">
      <c r="A16" s="165" t="s">
        <v>249</v>
      </c>
      <c r="B16" s="166" t="s">
        <v>250</v>
      </c>
      <c r="C16" s="167"/>
      <c r="D16" s="167"/>
      <c r="E16" s="167"/>
      <c r="F16" s="168">
        <v>6.0000000000000001E-3</v>
      </c>
      <c r="G16" s="169">
        <v>6.0000000000000001E-3</v>
      </c>
    </row>
    <row r="17" spans="1:7" x14ac:dyDescent="0.25">
      <c r="A17" s="165" t="s">
        <v>249</v>
      </c>
      <c r="B17" s="166" t="s">
        <v>251</v>
      </c>
      <c r="C17" s="167"/>
      <c r="D17" s="167"/>
      <c r="E17" s="167"/>
      <c r="F17" s="168">
        <v>2.5000000000000001E-2</v>
      </c>
      <c r="G17" s="169">
        <v>2.5000000000000001E-2</v>
      </c>
    </row>
    <row r="18" spans="1:7" x14ac:dyDescent="0.25">
      <c r="A18" s="165" t="s">
        <v>252</v>
      </c>
      <c r="B18" s="252" t="s">
        <v>253</v>
      </c>
      <c r="C18" s="252"/>
      <c r="D18" s="167"/>
      <c r="E18" s="167"/>
      <c r="F18" s="168">
        <v>0.03</v>
      </c>
      <c r="G18" s="169">
        <v>0.03</v>
      </c>
    </row>
    <row r="19" spans="1:7" x14ac:dyDescent="0.25">
      <c r="A19" s="165" t="s">
        <v>254</v>
      </c>
      <c r="B19" s="166" t="s">
        <v>255</v>
      </c>
      <c r="C19" s="167"/>
      <c r="D19" s="167"/>
      <c r="E19" s="167"/>
      <c r="F19" s="168">
        <v>0.08</v>
      </c>
      <c r="G19" s="169">
        <v>0.08</v>
      </c>
    </row>
    <row r="20" spans="1:7" x14ac:dyDescent="0.25">
      <c r="A20" s="165" t="s">
        <v>256</v>
      </c>
      <c r="B20" s="166" t="s">
        <v>257</v>
      </c>
      <c r="C20" s="167"/>
      <c r="D20" s="167"/>
      <c r="E20" s="167"/>
      <c r="F20" s="168">
        <v>0</v>
      </c>
      <c r="G20" s="169">
        <v>0</v>
      </c>
    </row>
    <row r="21" spans="1:7" x14ac:dyDescent="0.25">
      <c r="A21" s="240" t="s">
        <v>258</v>
      </c>
      <c r="B21" s="240"/>
      <c r="C21" s="240"/>
      <c r="D21" s="240"/>
      <c r="E21" s="240"/>
      <c r="F21" s="170">
        <f>ROUND(SUM(F12:F20),4)</f>
        <v>0.36799999999999999</v>
      </c>
      <c r="G21" s="171">
        <f>ROUND(SUM(G12:G20),4)</f>
        <v>0.36799999999999999</v>
      </c>
    </row>
    <row r="22" spans="1:7" x14ac:dyDescent="0.25">
      <c r="A22" s="247"/>
      <c r="B22" s="247"/>
      <c r="C22" s="247"/>
      <c r="D22" s="247"/>
      <c r="E22" s="247"/>
      <c r="F22" s="247"/>
      <c r="G22" s="172"/>
    </row>
    <row r="23" spans="1:7" x14ac:dyDescent="0.25">
      <c r="A23" s="173" t="s">
        <v>259</v>
      </c>
      <c r="B23" s="243" t="s">
        <v>260</v>
      </c>
      <c r="C23" s="243"/>
      <c r="D23" s="243"/>
      <c r="E23" s="243"/>
      <c r="F23" s="161" t="s">
        <v>244</v>
      </c>
      <c r="G23" s="164" t="s">
        <v>244</v>
      </c>
    </row>
    <row r="24" spans="1:7" x14ac:dyDescent="0.25">
      <c r="A24" s="165" t="s">
        <v>261</v>
      </c>
      <c r="B24" s="174" t="s">
        <v>262</v>
      </c>
      <c r="C24" s="175"/>
      <c r="D24" s="175"/>
      <c r="E24" s="176"/>
      <c r="F24" s="177">
        <v>0.1782</v>
      </c>
      <c r="G24" s="178" t="s">
        <v>263</v>
      </c>
    </row>
    <row r="25" spans="1:7" x14ac:dyDescent="0.25">
      <c r="A25" s="165" t="s">
        <v>264</v>
      </c>
      <c r="B25" s="174" t="s">
        <v>265</v>
      </c>
      <c r="C25" s="179"/>
      <c r="D25" s="179"/>
      <c r="E25" s="179"/>
      <c r="F25" s="177">
        <v>3.95E-2</v>
      </c>
      <c r="G25" s="178" t="s">
        <v>263</v>
      </c>
    </row>
    <row r="26" spans="1:7" x14ac:dyDescent="0.25">
      <c r="A26" s="165" t="s">
        <v>266</v>
      </c>
      <c r="B26" s="174" t="s">
        <v>267</v>
      </c>
      <c r="C26" s="179"/>
      <c r="D26" s="179"/>
      <c r="E26" s="179"/>
      <c r="F26" s="177">
        <v>8.6999999999999994E-3</v>
      </c>
      <c r="G26" s="178">
        <v>6.7000000000000002E-3</v>
      </c>
    </row>
    <row r="27" spans="1:7" x14ac:dyDescent="0.25">
      <c r="A27" s="165" t="s">
        <v>268</v>
      </c>
      <c r="B27" s="174" t="s">
        <v>269</v>
      </c>
      <c r="C27" s="179"/>
      <c r="D27" s="179"/>
      <c r="E27" s="179"/>
      <c r="F27" s="177">
        <v>0.1076</v>
      </c>
      <c r="G27" s="178">
        <v>8.3299999999999999E-2</v>
      </c>
    </row>
    <row r="28" spans="1:7" x14ac:dyDescent="0.25">
      <c r="A28" s="165" t="s">
        <v>270</v>
      </c>
      <c r="B28" s="174" t="s">
        <v>271</v>
      </c>
      <c r="C28" s="179"/>
      <c r="D28" s="179"/>
      <c r="E28" s="179"/>
      <c r="F28" s="177">
        <v>6.9999999999999999E-4</v>
      </c>
      <c r="G28" s="178">
        <v>5.9999999999999995E-4</v>
      </c>
    </row>
    <row r="29" spans="1:7" x14ac:dyDescent="0.25">
      <c r="A29" s="165" t="s">
        <v>272</v>
      </c>
      <c r="B29" s="174" t="s">
        <v>273</v>
      </c>
      <c r="C29" s="179"/>
      <c r="D29" s="179"/>
      <c r="E29" s="179"/>
      <c r="F29" s="177">
        <v>7.1999999999999998E-3</v>
      </c>
      <c r="G29" s="178">
        <v>5.5999999999999999E-3</v>
      </c>
    </row>
    <row r="30" spans="1:7" x14ac:dyDescent="0.25">
      <c r="A30" s="165" t="s">
        <v>274</v>
      </c>
      <c r="B30" s="174" t="s">
        <v>275</v>
      </c>
      <c r="C30" s="179"/>
      <c r="D30" s="179"/>
      <c r="E30" s="179"/>
      <c r="F30" s="177">
        <v>1.1599999999999999E-2</v>
      </c>
      <c r="G30" s="178" t="s">
        <v>263</v>
      </c>
    </row>
    <row r="31" spans="1:7" x14ac:dyDescent="0.25">
      <c r="A31" s="165" t="s">
        <v>276</v>
      </c>
      <c r="B31" s="174" t="s">
        <v>277</v>
      </c>
      <c r="C31" s="179"/>
      <c r="D31" s="179"/>
      <c r="E31" s="179"/>
      <c r="F31" s="177">
        <v>1.1000000000000001E-3</v>
      </c>
      <c r="G31" s="178">
        <v>8.0000000000000004E-4</v>
      </c>
    </row>
    <row r="32" spans="1:7" x14ac:dyDescent="0.25">
      <c r="A32" s="165" t="s">
        <v>278</v>
      </c>
      <c r="B32" s="174" t="s">
        <v>279</v>
      </c>
      <c r="C32" s="179"/>
      <c r="D32" s="179"/>
      <c r="E32" s="179"/>
      <c r="F32" s="177">
        <v>8.3500000000000005E-2</v>
      </c>
      <c r="G32" s="178">
        <v>6.4699999999999994E-2</v>
      </c>
    </row>
    <row r="33" spans="1:7" x14ac:dyDescent="0.25">
      <c r="A33" s="165" t="s">
        <v>280</v>
      </c>
      <c r="B33" s="180" t="s">
        <v>281</v>
      </c>
      <c r="C33" s="179"/>
      <c r="D33" s="179"/>
      <c r="E33" s="179"/>
      <c r="F33" s="177">
        <v>2.9999999999999997E-4</v>
      </c>
      <c r="G33" s="178">
        <v>2.9999999999999997E-4</v>
      </c>
    </row>
    <row r="34" spans="1:7" x14ac:dyDescent="0.25">
      <c r="A34" s="248" t="s">
        <v>282</v>
      </c>
      <c r="B34" s="248"/>
      <c r="C34" s="248"/>
      <c r="D34" s="248"/>
      <c r="E34" s="248"/>
      <c r="F34" s="170">
        <f>ROUND(SUM(F24:F33),4)</f>
        <v>0.43840000000000001</v>
      </c>
      <c r="G34" s="171">
        <f>ROUND(SUM(G24:G33),4)</f>
        <v>0.16200000000000001</v>
      </c>
    </row>
    <row r="35" spans="1:7" x14ac:dyDescent="0.25">
      <c r="A35" s="247"/>
      <c r="B35" s="247"/>
      <c r="C35" s="247"/>
      <c r="D35" s="247"/>
      <c r="E35" s="247"/>
      <c r="F35" s="247"/>
      <c r="G35" s="172"/>
    </row>
    <row r="36" spans="1:7" x14ac:dyDescent="0.25">
      <c r="A36" s="173" t="s">
        <v>283</v>
      </c>
      <c r="B36" s="243" t="s">
        <v>284</v>
      </c>
      <c r="C36" s="243"/>
      <c r="D36" s="243"/>
      <c r="E36" s="243"/>
      <c r="F36" s="161" t="s">
        <v>244</v>
      </c>
      <c r="G36" s="164" t="s">
        <v>244</v>
      </c>
    </row>
    <row r="37" spans="1:7" x14ac:dyDescent="0.25">
      <c r="A37" s="165" t="s">
        <v>285</v>
      </c>
      <c r="B37" s="246" t="s">
        <v>286</v>
      </c>
      <c r="C37" s="246"/>
      <c r="D37" s="246"/>
      <c r="E37" s="246"/>
      <c r="F37" s="181">
        <v>5.1999999999999998E-2</v>
      </c>
      <c r="G37" s="182">
        <v>4.0300000000000002E-2</v>
      </c>
    </row>
    <row r="38" spans="1:7" x14ac:dyDescent="0.25">
      <c r="A38" s="165" t="s">
        <v>287</v>
      </c>
      <c r="B38" s="246" t="s">
        <v>288</v>
      </c>
      <c r="C38" s="246"/>
      <c r="D38" s="246"/>
      <c r="E38" s="246"/>
      <c r="F38" s="181">
        <v>1.1999999999999999E-3</v>
      </c>
      <c r="G38" s="182">
        <v>8.9999999999999998E-4</v>
      </c>
    </row>
    <row r="39" spans="1:7" x14ac:dyDescent="0.25">
      <c r="A39" s="165" t="s">
        <v>289</v>
      </c>
      <c r="B39" s="246" t="s">
        <v>290</v>
      </c>
      <c r="C39" s="246"/>
      <c r="D39" s="246"/>
      <c r="E39" s="246"/>
      <c r="F39" s="177">
        <v>5.2600000000000001E-2</v>
      </c>
      <c r="G39" s="178">
        <v>4.07E-2</v>
      </c>
    </row>
    <row r="40" spans="1:7" x14ac:dyDescent="0.25">
      <c r="A40" s="165" t="s">
        <v>291</v>
      </c>
      <c r="B40" s="246" t="s">
        <v>292</v>
      </c>
      <c r="C40" s="246"/>
      <c r="D40" s="246"/>
      <c r="E40" s="246"/>
      <c r="F40" s="177">
        <v>3.9E-2</v>
      </c>
      <c r="G40" s="178">
        <v>3.0200000000000001E-2</v>
      </c>
    </row>
    <row r="41" spans="1:7" x14ac:dyDescent="0.25">
      <c r="A41" s="165" t="s">
        <v>293</v>
      </c>
      <c r="B41" s="246" t="s">
        <v>294</v>
      </c>
      <c r="C41" s="246"/>
      <c r="D41" s="246"/>
      <c r="E41" s="246"/>
      <c r="F41" s="177">
        <v>4.4000000000000003E-3</v>
      </c>
      <c r="G41" s="178">
        <v>3.3999999999999998E-3</v>
      </c>
    </row>
    <row r="42" spans="1:7" x14ac:dyDescent="0.25">
      <c r="A42" s="240" t="s">
        <v>295</v>
      </c>
      <c r="B42" s="240"/>
      <c r="C42" s="240"/>
      <c r="D42" s="240"/>
      <c r="E42" s="240"/>
      <c r="F42" s="170">
        <f>ROUND(SUM(F37:F41),4)</f>
        <v>0.1492</v>
      </c>
      <c r="G42" s="171">
        <f>ROUND(SUM(G37:G41),4)</f>
        <v>0.11550000000000001</v>
      </c>
    </row>
    <row r="43" spans="1:7" x14ac:dyDescent="0.25">
      <c r="A43" s="242"/>
      <c r="B43" s="242"/>
      <c r="C43" s="242"/>
      <c r="D43" s="242"/>
      <c r="E43" s="242"/>
      <c r="F43" s="242"/>
      <c r="G43" s="242"/>
    </row>
    <row r="44" spans="1:7" x14ac:dyDescent="0.25">
      <c r="A44" s="173" t="s">
        <v>296</v>
      </c>
      <c r="B44" s="243" t="s">
        <v>297</v>
      </c>
      <c r="C44" s="243"/>
      <c r="D44" s="243"/>
      <c r="E44" s="243"/>
      <c r="F44" s="161" t="s">
        <v>244</v>
      </c>
      <c r="G44" s="164" t="s">
        <v>244</v>
      </c>
    </row>
    <row r="45" spans="1:7" x14ac:dyDescent="0.25">
      <c r="A45" s="165" t="s">
        <v>298</v>
      </c>
      <c r="B45" s="244" t="s">
        <v>299</v>
      </c>
      <c r="C45" s="244"/>
      <c r="D45" s="244"/>
      <c r="E45" s="244"/>
      <c r="F45" s="181">
        <v>0.1613</v>
      </c>
      <c r="G45" s="182">
        <v>5.96E-2</v>
      </c>
    </row>
    <row r="46" spans="1:7" ht="33" customHeight="1" x14ac:dyDescent="0.25">
      <c r="A46" s="165" t="s">
        <v>300</v>
      </c>
      <c r="B46" s="245" t="s">
        <v>301</v>
      </c>
      <c r="C46" s="245"/>
      <c r="D46" s="245"/>
      <c r="E46" s="245"/>
      <c r="F46" s="177">
        <v>4.5999999999999999E-3</v>
      </c>
      <c r="G46" s="178">
        <v>3.5999999999999999E-3</v>
      </c>
    </row>
    <row r="47" spans="1:7" x14ac:dyDescent="0.25">
      <c r="A47" s="240" t="s">
        <v>302</v>
      </c>
      <c r="B47" s="240"/>
      <c r="C47" s="240"/>
      <c r="D47" s="240"/>
      <c r="E47" s="240"/>
      <c r="F47" s="170">
        <f>SUM(F45:F46)</f>
        <v>0.16589999999999999</v>
      </c>
      <c r="G47" s="171">
        <f>SUM(G45:G46)</f>
        <v>6.3200000000000006E-2</v>
      </c>
    </row>
    <row r="48" spans="1:7" x14ac:dyDescent="0.25">
      <c r="A48" s="183"/>
      <c r="B48" s="184"/>
      <c r="C48" s="184"/>
      <c r="D48" s="184"/>
      <c r="E48" s="184"/>
      <c r="F48" s="185"/>
      <c r="G48" s="186"/>
    </row>
    <row r="49" spans="1:7" x14ac:dyDescent="0.25">
      <c r="A49" s="241" t="s">
        <v>303</v>
      </c>
      <c r="B49" s="241"/>
      <c r="C49" s="241"/>
      <c r="D49" s="241"/>
      <c r="E49" s="241"/>
      <c r="F49" s="187">
        <f>ROUND(F21+F34+F42+F47,4)</f>
        <v>1.1214999999999999</v>
      </c>
      <c r="G49" s="188">
        <f>ROUND(G21+G34+G42+G47,4)</f>
        <v>0.7087</v>
      </c>
    </row>
  </sheetData>
  <mergeCells count="27">
    <mergeCell ref="C1:G1"/>
    <mergeCell ref="A2:G2"/>
    <mergeCell ref="A3:G3"/>
    <mergeCell ref="A4:G4"/>
    <mergeCell ref="A6:F7"/>
    <mergeCell ref="A8:F9"/>
    <mergeCell ref="A10:E10"/>
    <mergeCell ref="B11:E11"/>
    <mergeCell ref="B18:C18"/>
    <mergeCell ref="A21:E21"/>
    <mergeCell ref="A22:F22"/>
    <mergeCell ref="B23:E23"/>
    <mergeCell ref="A34:E34"/>
    <mergeCell ref="A35:F35"/>
    <mergeCell ref="B36:E36"/>
    <mergeCell ref="B37:E37"/>
    <mergeCell ref="B38:E38"/>
    <mergeCell ref="B39:E39"/>
    <mergeCell ref="B40:E40"/>
    <mergeCell ref="B41:E41"/>
    <mergeCell ref="A47:E47"/>
    <mergeCell ref="A49:E49"/>
    <mergeCell ref="A42:E42"/>
    <mergeCell ref="A43:G43"/>
    <mergeCell ref="B44:E44"/>
    <mergeCell ref="B45:E45"/>
    <mergeCell ref="B46:E46"/>
  </mergeCells>
  <pageMargins left="0.51180555555555496" right="0.51180555555555496" top="0.78749999999999998" bottom="0.78749999999999998" header="0.51180555555555496" footer="0.51180555555555496"/>
  <pageSetup paperSize="9" scale="75" firstPageNumber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I20"/>
  <sheetViews>
    <sheetView tabSelected="1" zoomScaleNormal="100" workbookViewId="0">
      <selection activeCell="E23" sqref="E23"/>
    </sheetView>
  </sheetViews>
  <sheetFormatPr defaultColWidth="8.42578125" defaultRowHeight="15" x14ac:dyDescent="0.25"/>
  <cols>
    <col min="3" max="3" width="82" bestFit="1" customWidth="1"/>
    <col min="4" max="4" width="5" customWidth="1"/>
    <col min="5" max="5" width="10.7109375" customWidth="1"/>
    <col min="7" max="7" width="14" customWidth="1"/>
  </cols>
  <sheetData>
    <row r="4" spans="2:7" x14ac:dyDescent="0.25">
      <c r="B4" s="197" t="s">
        <v>18</v>
      </c>
      <c r="C4" s="197"/>
      <c r="D4" s="197"/>
      <c r="E4" s="197"/>
    </row>
    <row r="5" spans="2:7" x14ac:dyDescent="0.25">
      <c r="B5" s="2" t="s">
        <v>19</v>
      </c>
      <c r="C5" s="2" t="s">
        <v>3</v>
      </c>
      <c r="D5" s="201" t="s">
        <v>20</v>
      </c>
      <c r="E5" s="202"/>
      <c r="F5" s="13"/>
      <c r="G5" s="13"/>
    </row>
    <row r="6" spans="2:7" ht="30" x14ac:dyDescent="0.25">
      <c r="B6" s="14">
        <v>1</v>
      </c>
      <c r="C6" s="15" t="s">
        <v>21</v>
      </c>
      <c r="D6" s="199" t="s">
        <v>23</v>
      </c>
      <c r="E6" s="200"/>
      <c r="F6" s="16"/>
      <c r="G6" s="17"/>
    </row>
    <row r="7" spans="2:7" x14ac:dyDescent="0.25">
      <c r="B7" s="14">
        <v>2</v>
      </c>
      <c r="C7" s="9" t="s">
        <v>22</v>
      </c>
      <c r="D7" s="199" t="s">
        <v>23</v>
      </c>
      <c r="E7" s="200"/>
      <c r="F7" s="16"/>
      <c r="G7" s="17"/>
    </row>
    <row r="8" spans="2:7" x14ac:dyDescent="0.25">
      <c r="B8" s="14">
        <v>3</v>
      </c>
      <c r="C8" s="9" t="s">
        <v>24</v>
      </c>
      <c r="D8" s="199" t="s">
        <v>23</v>
      </c>
      <c r="E8" s="200"/>
      <c r="F8" s="16"/>
      <c r="G8" s="17"/>
    </row>
    <row r="9" spans="2:7" x14ac:dyDescent="0.25">
      <c r="B9" s="14">
        <v>4</v>
      </c>
      <c r="C9" s="9" t="s">
        <v>25</v>
      </c>
      <c r="D9" s="199" t="s">
        <v>23</v>
      </c>
      <c r="E9" s="200"/>
      <c r="F9" s="16"/>
      <c r="G9" s="17"/>
    </row>
    <row r="10" spans="2:7" x14ac:dyDescent="0.25">
      <c r="B10" s="14">
        <v>5</v>
      </c>
      <c r="C10" s="9" t="s">
        <v>26</v>
      </c>
      <c r="D10" s="199" t="s">
        <v>20</v>
      </c>
      <c r="E10" s="200"/>
      <c r="F10" s="16"/>
      <c r="G10" s="17"/>
    </row>
    <row r="11" spans="2:7" x14ac:dyDescent="0.25">
      <c r="B11" s="14">
        <v>6</v>
      </c>
      <c r="C11" s="9" t="s">
        <v>27</v>
      </c>
      <c r="D11" s="199" t="s">
        <v>20</v>
      </c>
      <c r="E11" s="200"/>
      <c r="F11" s="16"/>
      <c r="G11" s="17"/>
    </row>
    <row r="12" spans="2:7" x14ac:dyDescent="0.25">
      <c r="B12" s="14">
        <v>7</v>
      </c>
      <c r="C12" s="9" t="s">
        <v>28</v>
      </c>
      <c r="D12" s="199" t="s">
        <v>20</v>
      </c>
      <c r="E12" s="200"/>
      <c r="F12" s="16"/>
      <c r="G12" s="17"/>
    </row>
    <row r="13" spans="2:7" x14ac:dyDescent="0.25">
      <c r="B13" s="14">
        <v>8</v>
      </c>
      <c r="C13" s="9" t="s">
        <v>29</v>
      </c>
      <c r="D13" s="199" t="s">
        <v>20</v>
      </c>
      <c r="E13" s="200"/>
      <c r="F13" s="16"/>
      <c r="G13" s="17"/>
    </row>
    <row r="14" spans="2:7" x14ac:dyDescent="0.25">
      <c r="B14" s="14">
        <v>9</v>
      </c>
      <c r="C14" s="9" t="s">
        <v>30</v>
      </c>
      <c r="D14" s="199" t="s">
        <v>20</v>
      </c>
      <c r="E14" s="200"/>
      <c r="G14" s="17"/>
    </row>
    <row r="15" spans="2:7" x14ac:dyDescent="0.25">
      <c r="B15" s="14">
        <v>10</v>
      </c>
      <c r="C15" s="9" t="s">
        <v>31</v>
      </c>
      <c r="D15" s="199" t="s">
        <v>23</v>
      </c>
      <c r="E15" s="200"/>
      <c r="F15" s="16"/>
      <c r="G15" s="17"/>
    </row>
    <row r="16" spans="2:7" x14ac:dyDescent="0.25">
      <c r="B16" s="14">
        <v>11</v>
      </c>
      <c r="C16" s="9" t="s">
        <v>32</v>
      </c>
      <c r="D16" s="199" t="s">
        <v>20</v>
      </c>
      <c r="E16" s="200"/>
      <c r="F16" s="16"/>
      <c r="G16" s="17"/>
    </row>
    <row r="17" spans="2:9" x14ac:dyDescent="0.25">
      <c r="B17" s="14">
        <v>12</v>
      </c>
      <c r="C17" s="9" t="s">
        <v>33</v>
      </c>
      <c r="D17" s="199" t="s">
        <v>34</v>
      </c>
      <c r="E17" s="200"/>
      <c r="F17" s="16"/>
      <c r="G17" s="17"/>
    </row>
    <row r="18" spans="2:9" x14ac:dyDescent="0.25">
      <c r="B18" s="14">
        <v>13</v>
      </c>
      <c r="C18" s="9" t="s">
        <v>307</v>
      </c>
      <c r="D18" s="199" t="s">
        <v>23</v>
      </c>
      <c r="E18" s="200"/>
      <c r="F18" s="16"/>
      <c r="G18" s="17"/>
    </row>
    <row r="19" spans="2:9" x14ac:dyDescent="0.25">
      <c r="B19" s="14"/>
      <c r="C19" s="9"/>
      <c r="D19" s="199"/>
      <c r="E19" s="200"/>
    </row>
    <row r="20" spans="2:9" x14ac:dyDescent="0.25">
      <c r="B20" s="203" t="s">
        <v>35</v>
      </c>
      <c r="C20" s="204"/>
      <c r="D20" s="205">
        <f>'Planilha Resumo'!C30</f>
        <v>113097.24</v>
      </c>
      <c r="E20" s="205"/>
      <c r="G20" s="18"/>
      <c r="H20" s="194"/>
      <c r="I20" s="194"/>
    </row>
  </sheetData>
  <mergeCells count="18">
    <mergeCell ref="B20:C20"/>
    <mergeCell ref="D20:E20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B4:E4"/>
    <mergeCell ref="D5:E5"/>
  </mergeCells>
  <pageMargins left="0.51180555555555496" right="0.51180555555555496" top="0.78749999999999998" bottom="0.78749999999999998" header="0.51180555555555496" footer="0.51180555555555496"/>
  <pageSetup paperSize="9" scale="110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G58"/>
  <sheetViews>
    <sheetView topLeftCell="A28" zoomScaleNormal="100" workbookViewId="0">
      <selection activeCell="G58" sqref="G58"/>
    </sheetView>
  </sheetViews>
  <sheetFormatPr defaultColWidth="8.42578125" defaultRowHeight="15" x14ac:dyDescent="0.25"/>
  <cols>
    <col min="3" max="3" width="82" bestFit="1" customWidth="1"/>
    <col min="4" max="4" width="6.140625" customWidth="1"/>
    <col min="5" max="5" width="8" customWidth="1"/>
    <col min="6" max="6" width="13.28515625" customWidth="1"/>
    <col min="7" max="7" width="14.28515625" customWidth="1"/>
  </cols>
  <sheetData>
    <row r="2" spans="2:7" x14ac:dyDescent="0.25">
      <c r="B2" s="197" t="s">
        <v>36</v>
      </c>
      <c r="C2" s="197"/>
      <c r="D2" s="197"/>
      <c r="E2" s="197"/>
      <c r="F2" s="197"/>
      <c r="G2" s="197"/>
    </row>
    <row r="3" spans="2:7" x14ac:dyDescent="0.25">
      <c r="B3" s="9" t="s">
        <v>19</v>
      </c>
      <c r="C3" s="9" t="s">
        <v>3</v>
      </c>
      <c r="D3" s="9" t="s">
        <v>37</v>
      </c>
      <c r="E3" s="9" t="s">
        <v>38</v>
      </c>
      <c r="F3" s="9" t="s">
        <v>39</v>
      </c>
      <c r="G3" s="9" t="s">
        <v>4</v>
      </c>
    </row>
    <row r="4" spans="2:7" x14ac:dyDescent="0.25">
      <c r="B4" s="9">
        <v>13</v>
      </c>
      <c r="C4" s="9" t="s">
        <v>307</v>
      </c>
      <c r="D4" s="9" t="s">
        <v>40</v>
      </c>
      <c r="E4" s="9">
        <v>12</v>
      </c>
      <c r="F4" s="19">
        <f>'Teste Prod. e Bomb.'!H30</f>
        <v>48.79</v>
      </c>
      <c r="G4" s="19">
        <f>E4*F4</f>
        <v>585.48</v>
      </c>
    </row>
    <row r="5" spans="2:7" x14ac:dyDescent="0.25">
      <c r="B5" s="9">
        <v>8</v>
      </c>
      <c r="C5" s="9" t="s">
        <v>41</v>
      </c>
      <c r="D5" s="9" t="s">
        <v>20</v>
      </c>
      <c r="E5" s="9">
        <v>1</v>
      </c>
      <c r="F5" s="19">
        <f>'Analise de Água'!H9</f>
        <v>690.19</v>
      </c>
      <c r="G5" s="10">
        <f>F5*E5</f>
        <v>690.19</v>
      </c>
    </row>
    <row r="6" spans="2:7" x14ac:dyDescent="0.25">
      <c r="B6" s="9">
        <v>9</v>
      </c>
      <c r="C6" s="9" t="s">
        <v>42</v>
      </c>
      <c r="D6" s="9" t="s">
        <v>20</v>
      </c>
      <c r="E6" s="9">
        <v>1</v>
      </c>
      <c r="F6" s="19">
        <f>'Limp. Sanitária 01'!H10</f>
        <v>3417.47</v>
      </c>
      <c r="G6" s="10">
        <f>F6*E6</f>
        <v>3417.47</v>
      </c>
    </row>
    <row r="7" spans="2:7" x14ac:dyDescent="0.25">
      <c r="B7" s="9"/>
      <c r="C7" s="9"/>
      <c r="D7" s="9"/>
      <c r="E7" s="9"/>
      <c r="F7" s="9"/>
      <c r="G7" s="9"/>
    </row>
    <row r="8" spans="2:7" x14ac:dyDescent="0.25">
      <c r="B8" s="9"/>
      <c r="C8" s="9" t="s">
        <v>43</v>
      </c>
      <c r="D8" s="9"/>
      <c r="E8" s="9"/>
      <c r="F8" s="9"/>
      <c r="G8" s="10">
        <f>G4+G5+G6</f>
        <v>4693.1399999999994</v>
      </c>
    </row>
    <row r="10" spans="2:7" x14ac:dyDescent="0.25">
      <c r="B10" s="197" t="s">
        <v>44</v>
      </c>
      <c r="C10" s="197"/>
      <c r="D10" s="197"/>
      <c r="E10" s="197"/>
      <c r="F10" s="197"/>
      <c r="G10" s="197"/>
    </row>
    <row r="11" spans="2:7" x14ac:dyDescent="0.25">
      <c r="B11" s="9" t="s">
        <v>19</v>
      </c>
      <c r="C11" s="9" t="s">
        <v>3</v>
      </c>
      <c r="D11" s="9" t="s">
        <v>37</v>
      </c>
      <c r="E11" s="9" t="s">
        <v>38</v>
      </c>
      <c r="F11" s="9" t="s">
        <v>39</v>
      </c>
      <c r="G11" s="9" t="s">
        <v>4</v>
      </c>
    </row>
    <row r="12" spans="2:7" x14ac:dyDescent="0.25">
      <c r="B12" s="9">
        <v>1</v>
      </c>
      <c r="C12" s="9" t="s">
        <v>45</v>
      </c>
      <c r="D12" s="9" t="s">
        <v>40</v>
      </c>
      <c r="E12" s="9">
        <v>16</v>
      </c>
      <c r="F12" s="19">
        <f>'Tentativa de Pescaria'!H12</f>
        <v>100.06</v>
      </c>
      <c r="G12" s="19">
        <f t="shared" ref="G12:G17" si="0">F12*E12</f>
        <v>1600.96</v>
      </c>
    </row>
    <row r="13" spans="2:7" x14ac:dyDescent="0.25">
      <c r="B13" s="9">
        <v>4</v>
      </c>
      <c r="C13" s="9" t="s">
        <v>46</v>
      </c>
      <c r="D13" s="9" t="s">
        <v>40</v>
      </c>
      <c r="E13" s="9">
        <v>12</v>
      </c>
      <c r="F13" s="19">
        <f>'Teste Prod. e Bomb.'!H21</f>
        <v>295.58999999999997</v>
      </c>
      <c r="G13" s="19">
        <f t="shared" si="0"/>
        <v>3547.08</v>
      </c>
    </row>
    <row r="14" spans="2:7" x14ac:dyDescent="0.25">
      <c r="B14" s="9">
        <v>6</v>
      </c>
      <c r="C14" s="9" t="s">
        <v>47</v>
      </c>
      <c r="D14" s="9" t="s">
        <v>20</v>
      </c>
      <c r="E14" s="9">
        <v>1</v>
      </c>
      <c r="F14" s="19">
        <f>'Proteção Sanitária'!H8</f>
        <v>649.48</v>
      </c>
      <c r="G14" s="19">
        <f t="shared" si="0"/>
        <v>649.48</v>
      </c>
    </row>
    <row r="15" spans="2:7" x14ac:dyDescent="0.25">
      <c r="B15" s="9">
        <v>7</v>
      </c>
      <c r="C15" s="9" t="s">
        <v>48</v>
      </c>
      <c r="D15" s="9" t="s">
        <v>20</v>
      </c>
      <c r="E15" s="9">
        <v>1</v>
      </c>
      <c r="F15" s="19">
        <f>'Aumento de Revestimento'!H11</f>
        <v>493.61</v>
      </c>
      <c r="G15" s="19">
        <f t="shared" si="0"/>
        <v>493.61</v>
      </c>
    </row>
    <row r="16" spans="2:7" x14ac:dyDescent="0.25">
      <c r="B16" s="9">
        <v>8</v>
      </c>
      <c r="C16" s="9" t="s">
        <v>41</v>
      </c>
      <c r="D16" s="9" t="s">
        <v>20</v>
      </c>
      <c r="E16" s="9">
        <v>1</v>
      </c>
      <c r="F16" s="19">
        <f>'Analise de Água'!H9</f>
        <v>690.19</v>
      </c>
      <c r="G16" s="19">
        <f t="shared" si="0"/>
        <v>690.19</v>
      </c>
    </row>
    <row r="17" spans="2:7" x14ac:dyDescent="0.25">
      <c r="B17" s="9">
        <v>5</v>
      </c>
      <c r="C17" s="9" t="s">
        <v>310</v>
      </c>
      <c r="D17" s="9" t="s">
        <v>20</v>
      </c>
      <c r="E17" s="9">
        <v>1</v>
      </c>
      <c r="F17" s="19">
        <f>'Lacrar Poço'!H12</f>
        <v>212.63</v>
      </c>
      <c r="G17" s="19">
        <f t="shared" si="0"/>
        <v>212.63</v>
      </c>
    </row>
    <row r="18" spans="2:7" x14ac:dyDescent="0.25">
      <c r="B18" s="9"/>
      <c r="C18" s="9"/>
      <c r="D18" s="9"/>
      <c r="E18" s="9"/>
      <c r="F18" s="9"/>
      <c r="G18" s="9"/>
    </row>
    <row r="19" spans="2:7" x14ac:dyDescent="0.25">
      <c r="B19" s="9"/>
      <c r="C19" s="9" t="s">
        <v>50</v>
      </c>
      <c r="D19" s="9"/>
      <c r="E19" s="9"/>
      <c r="F19" s="9"/>
      <c r="G19" s="19">
        <f>SUM(G12:G17)</f>
        <v>7193.95</v>
      </c>
    </row>
    <row r="21" spans="2:7" x14ac:dyDescent="0.25">
      <c r="B21" s="197" t="s">
        <v>51</v>
      </c>
      <c r="C21" s="197"/>
      <c r="D21" s="197"/>
      <c r="E21" s="197"/>
      <c r="F21" s="197"/>
      <c r="G21" s="197"/>
    </row>
    <row r="22" spans="2:7" x14ac:dyDescent="0.25">
      <c r="B22" s="9" t="s">
        <v>19</v>
      </c>
      <c r="C22" s="9" t="s">
        <v>3</v>
      </c>
      <c r="D22" s="9" t="s">
        <v>37</v>
      </c>
      <c r="E22" s="9" t="s">
        <v>38</v>
      </c>
      <c r="F22" s="9" t="s">
        <v>39</v>
      </c>
      <c r="G22" s="9" t="s">
        <v>4</v>
      </c>
    </row>
    <row r="23" spans="2:7" x14ac:dyDescent="0.25">
      <c r="B23" s="9">
        <v>9</v>
      </c>
      <c r="C23" s="9" t="s">
        <v>52</v>
      </c>
      <c r="D23" s="9" t="s">
        <v>20</v>
      </c>
      <c r="E23" s="9">
        <v>1</v>
      </c>
      <c r="F23" s="19">
        <f>'Limp. Sanitária 01'!H22</f>
        <v>3416.58</v>
      </c>
      <c r="G23" s="19">
        <f>E23*F23</f>
        <v>3416.58</v>
      </c>
    </row>
    <row r="24" spans="2:7" x14ac:dyDescent="0.25">
      <c r="B24" s="9">
        <v>13</v>
      </c>
      <c r="C24" s="9" t="s">
        <v>307</v>
      </c>
      <c r="D24" s="9" t="s">
        <v>40</v>
      </c>
      <c r="E24" s="9">
        <v>12</v>
      </c>
      <c r="F24" s="19">
        <f>'Teste Prod. e Bomb.'!H30</f>
        <v>48.79</v>
      </c>
      <c r="G24" s="19">
        <f>E24*F24</f>
        <v>585.48</v>
      </c>
    </row>
    <row r="25" spans="2:7" x14ac:dyDescent="0.25">
      <c r="B25" s="9">
        <v>8</v>
      </c>
      <c r="C25" s="9" t="s">
        <v>53</v>
      </c>
      <c r="D25" s="9" t="s">
        <v>20</v>
      </c>
      <c r="E25" s="9">
        <v>1</v>
      </c>
      <c r="F25" s="19">
        <f>'Analise de Água'!H9</f>
        <v>690.19</v>
      </c>
      <c r="G25" s="19">
        <f>E25*F25</f>
        <v>690.19</v>
      </c>
    </row>
    <row r="26" spans="2:7" x14ac:dyDescent="0.25">
      <c r="B26" s="9"/>
      <c r="C26" s="9"/>
      <c r="D26" s="9"/>
      <c r="E26" s="9"/>
      <c r="F26" s="19"/>
      <c r="G26" s="19"/>
    </row>
    <row r="27" spans="2:7" x14ac:dyDescent="0.25">
      <c r="B27" s="9"/>
      <c r="C27" s="9" t="s">
        <v>54</v>
      </c>
      <c r="D27" s="9"/>
      <c r="E27" s="9"/>
      <c r="F27" s="19"/>
      <c r="G27" s="19">
        <f>SUM(G23:G25)</f>
        <v>4692.25</v>
      </c>
    </row>
    <row r="29" spans="2:7" x14ac:dyDescent="0.25">
      <c r="B29" s="197" t="s">
        <v>55</v>
      </c>
      <c r="C29" s="197"/>
      <c r="D29" s="197"/>
      <c r="E29" s="197"/>
      <c r="F29" s="197"/>
      <c r="G29" s="197"/>
    </row>
    <row r="30" spans="2:7" x14ac:dyDescent="0.25">
      <c r="B30" s="9" t="s">
        <v>19</v>
      </c>
      <c r="C30" s="9" t="s">
        <v>3</v>
      </c>
      <c r="D30" s="9" t="s">
        <v>37</v>
      </c>
      <c r="E30" s="9" t="s">
        <v>38</v>
      </c>
      <c r="F30" s="9" t="s">
        <v>39</v>
      </c>
      <c r="G30" s="9" t="s">
        <v>4</v>
      </c>
    </row>
    <row r="31" spans="2:7" x14ac:dyDescent="0.25">
      <c r="B31" s="9">
        <v>3</v>
      </c>
      <c r="C31" s="9" t="s">
        <v>46</v>
      </c>
      <c r="D31" s="9" t="s">
        <v>40</v>
      </c>
      <c r="E31" s="9">
        <v>12</v>
      </c>
      <c r="F31" s="19">
        <f>'Teste Prod. e Bomb.'!H21</f>
        <v>295.58999999999997</v>
      </c>
      <c r="G31" s="19">
        <f>E31*F31</f>
        <v>3547.08</v>
      </c>
    </row>
    <row r="32" spans="2:7" x14ac:dyDescent="0.25">
      <c r="B32" s="9">
        <v>9</v>
      </c>
      <c r="C32" s="9" t="s">
        <v>56</v>
      </c>
      <c r="D32" s="9" t="s">
        <v>20</v>
      </c>
      <c r="E32" s="9">
        <v>1</v>
      </c>
      <c r="F32" s="19">
        <f>'Limp. Sanitária 01'!H32</f>
        <v>3415.67</v>
      </c>
      <c r="G32" s="19">
        <f>E32*F32</f>
        <v>3415.67</v>
      </c>
    </row>
    <row r="33" spans="2:7" x14ac:dyDescent="0.25">
      <c r="B33" s="9">
        <v>8</v>
      </c>
      <c r="C33" s="9" t="s">
        <v>41</v>
      </c>
      <c r="D33" s="9" t="s">
        <v>20</v>
      </c>
      <c r="E33" s="9">
        <v>1</v>
      </c>
      <c r="F33" s="19">
        <f>'Analise de Água'!H9</f>
        <v>690.19</v>
      </c>
      <c r="G33" s="19">
        <f>E33*F33</f>
        <v>690.19</v>
      </c>
    </row>
    <row r="34" spans="2:7" x14ac:dyDescent="0.25">
      <c r="B34" s="9"/>
      <c r="C34" s="9"/>
      <c r="D34" s="9"/>
      <c r="E34" s="9"/>
      <c r="F34" s="9"/>
      <c r="G34" s="9"/>
    </row>
    <row r="35" spans="2:7" x14ac:dyDescent="0.25">
      <c r="B35" s="9"/>
      <c r="C35" s="9" t="s">
        <v>57</v>
      </c>
      <c r="D35" s="9"/>
      <c r="E35" s="9"/>
      <c r="F35" s="9"/>
      <c r="G35" s="10">
        <f>SUM(G31:G33)</f>
        <v>7652.9400000000005</v>
      </c>
    </row>
    <row r="37" spans="2:7" x14ac:dyDescent="0.25">
      <c r="B37" s="197" t="s">
        <v>58</v>
      </c>
      <c r="C37" s="197"/>
      <c r="D37" s="197"/>
      <c r="E37" s="197"/>
      <c r="F37" s="197"/>
      <c r="G37" s="197"/>
    </row>
    <row r="38" spans="2:7" x14ac:dyDescent="0.25">
      <c r="B38" s="9" t="s">
        <v>19</v>
      </c>
      <c r="C38" s="9" t="s">
        <v>3</v>
      </c>
      <c r="D38" s="9" t="s">
        <v>37</v>
      </c>
      <c r="E38" s="9" t="s">
        <v>38</v>
      </c>
      <c r="F38" s="9" t="s">
        <v>39</v>
      </c>
      <c r="G38" s="9" t="s">
        <v>4</v>
      </c>
    </row>
    <row r="39" spans="2:7" x14ac:dyDescent="0.25">
      <c r="B39" s="9">
        <v>13</v>
      </c>
      <c r="C39" s="9" t="s">
        <v>307</v>
      </c>
      <c r="D39" s="9" t="s">
        <v>40</v>
      </c>
      <c r="E39" s="9">
        <v>12</v>
      </c>
      <c r="F39" s="19">
        <f>'Teste Prod. e Bomb.'!H30</f>
        <v>48.79</v>
      </c>
      <c r="G39" s="19">
        <f>E39*F39</f>
        <v>585.48</v>
      </c>
    </row>
    <row r="40" spans="2:7" x14ac:dyDescent="0.25">
      <c r="B40" s="9">
        <v>8</v>
      </c>
      <c r="C40" s="9" t="s">
        <v>41</v>
      </c>
      <c r="D40" s="9" t="s">
        <v>20</v>
      </c>
      <c r="E40" s="9">
        <v>1</v>
      </c>
      <c r="F40" s="19">
        <f>'Analise de Água'!H9</f>
        <v>690.19</v>
      </c>
      <c r="G40" s="19">
        <f>E40*F40</f>
        <v>690.19</v>
      </c>
    </row>
    <row r="41" spans="2:7" x14ac:dyDescent="0.25">
      <c r="B41" s="9">
        <v>9</v>
      </c>
      <c r="C41" s="9" t="s">
        <v>306</v>
      </c>
      <c r="D41" s="9" t="s">
        <v>20</v>
      </c>
      <c r="E41" s="9">
        <v>1</v>
      </c>
      <c r="F41" s="19">
        <f>'Limp. Sanitária 01'!H43</f>
        <v>3418.41</v>
      </c>
      <c r="G41" s="19">
        <f>E41*F41</f>
        <v>3418.41</v>
      </c>
    </row>
    <row r="42" spans="2:7" x14ac:dyDescent="0.25">
      <c r="B42" s="9"/>
      <c r="C42" s="9"/>
      <c r="D42" s="9"/>
      <c r="E42" s="9"/>
      <c r="F42" s="9"/>
      <c r="G42" s="9"/>
    </row>
    <row r="43" spans="2:7" x14ac:dyDescent="0.25">
      <c r="B43" s="9"/>
      <c r="C43" s="9" t="s">
        <v>59</v>
      </c>
      <c r="D43" s="9"/>
      <c r="E43" s="9"/>
      <c r="F43" s="9"/>
      <c r="G43" s="10">
        <f>SUM(G39:G41)</f>
        <v>4694.08</v>
      </c>
    </row>
    <row r="45" spans="2:7" x14ac:dyDescent="0.25">
      <c r="B45" s="197" t="s">
        <v>60</v>
      </c>
      <c r="C45" s="197"/>
      <c r="D45" s="197"/>
      <c r="E45" s="197"/>
      <c r="F45" s="197"/>
      <c r="G45" s="197"/>
    </row>
    <row r="46" spans="2:7" x14ac:dyDescent="0.25">
      <c r="B46" s="9" t="s">
        <v>19</v>
      </c>
      <c r="C46" s="9" t="s">
        <v>3</v>
      </c>
      <c r="D46" s="9" t="s">
        <v>37</v>
      </c>
      <c r="E46" s="9" t="s">
        <v>38</v>
      </c>
      <c r="F46" s="9" t="s">
        <v>39</v>
      </c>
      <c r="G46" s="9" t="s">
        <v>4</v>
      </c>
    </row>
    <row r="47" spans="2:7" x14ac:dyDescent="0.25">
      <c r="B47" s="9">
        <v>13</v>
      </c>
      <c r="C47" s="9" t="s">
        <v>307</v>
      </c>
      <c r="D47" s="9" t="s">
        <v>40</v>
      </c>
      <c r="E47" s="9">
        <v>12</v>
      </c>
      <c r="F47" s="19">
        <f>'Teste Prod. e Bomb.'!H30</f>
        <v>48.79</v>
      </c>
      <c r="G47" s="19">
        <f>E47*F47</f>
        <v>585.48</v>
      </c>
    </row>
    <row r="48" spans="2:7" x14ac:dyDescent="0.25">
      <c r="B48" s="9">
        <v>8</v>
      </c>
      <c r="C48" s="9" t="s">
        <v>41</v>
      </c>
      <c r="D48" s="9" t="s">
        <v>20</v>
      </c>
      <c r="E48" s="9">
        <v>1</v>
      </c>
      <c r="F48" s="19">
        <f>'Analise de Água'!H9</f>
        <v>690.19</v>
      </c>
      <c r="G48" s="19">
        <f>E48*F48</f>
        <v>690.19</v>
      </c>
    </row>
    <row r="49" spans="2:7" x14ac:dyDescent="0.25">
      <c r="B49" s="9">
        <v>5</v>
      </c>
      <c r="C49" s="9" t="s">
        <v>311</v>
      </c>
      <c r="D49" s="9" t="s">
        <v>20</v>
      </c>
      <c r="E49" s="9">
        <v>1</v>
      </c>
      <c r="F49" s="19">
        <f>'Lacrar Poço'!H24</f>
        <v>220.68</v>
      </c>
      <c r="G49" s="19">
        <f>E49*F49</f>
        <v>220.68</v>
      </c>
    </row>
    <row r="50" spans="2:7" x14ac:dyDescent="0.25">
      <c r="B50" s="9"/>
      <c r="C50" s="9"/>
      <c r="D50" s="9"/>
      <c r="E50" s="9"/>
      <c r="F50" s="9"/>
      <c r="G50" s="9"/>
    </row>
    <row r="51" spans="2:7" x14ac:dyDescent="0.25">
      <c r="B51" s="9"/>
      <c r="C51" s="9" t="s">
        <v>61</v>
      </c>
      <c r="D51" s="9"/>
      <c r="E51" s="9"/>
      <c r="F51" s="9"/>
      <c r="G51" s="10">
        <f>SUM(G47:G49)</f>
        <v>1496.3500000000001</v>
      </c>
    </row>
    <row r="52" spans="2:7" x14ac:dyDescent="0.25">
      <c r="G52" s="18"/>
    </row>
    <row r="53" spans="2:7" x14ac:dyDescent="0.25">
      <c r="B53" s="9" t="s">
        <v>19</v>
      </c>
      <c r="C53" s="9" t="s">
        <v>3</v>
      </c>
      <c r="D53" s="9" t="s">
        <v>37</v>
      </c>
      <c r="E53" s="9" t="s">
        <v>38</v>
      </c>
      <c r="F53" s="9" t="s">
        <v>39</v>
      </c>
      <c r="G53" s="9" t="s">
        <v>4</v>
      </c>
    </row>
    <row r="54" spans="2:7" x14ac:dyDescent="0.25">
      <c r="B54" s="9">
        <v>12</v>
      </c>
      <c r="C54" s="9" t="s">
        <v>62</v>
      </c>
      <c r="D54" s="9" t="s">
        <v>34</v>
      </c>
      <c r="E54" s="9">
        <v>576</v>
      </c>
      <c r="F54" s="19">
        <f>'Mobilização de Equipe'!G18</f>
        <v>26.16</v>
      </c>
      <c r="G54" s="19">
        <f>E54*F54</f>
        <v>15068.16</v>
      </c>
    </row>
    <row r="55" spans="2:7" x14ac:dyDescent="0.25">
      <c r="B55" s="9">
        <v>10</v>
      </c>
      <c r="C55" s="9" t="s">
        <v>63</v>
      </c>
      <c r="D55" s="9" t="s">
        <v>40</v>
      </c>
      <c r="E55" s="9">
        <v>24</v>
      </c>
      <c r="F55" s="19">
        <f>Coordenação!H8</f>
        <v>66.95</v>
      </c>
      <c r="G55" s="19">
        <f>E55*F55</f>
        <v>1606.8000000000002</v>
      </c>
    </row>
    <row r="56" spans="2:7" x14ac:dyDescent="0.25">
      <c r="B56" s="9">
        <v>11</v>
      </c>
      <c r="C56" s="9" t="s">
        <v>64</v>
      </c>
      <c r="D56" s="9" t="s">
        <v>20</v>
      </c>
      <c r="E56" s="9">
        <v>1</v>
      </c>
      <c r="F56" s="19">
        <f>'Emissão de ART'!H7</f>
        <v>88.78</v>
      </c>
      <c r="G56" s="19">
        <f>E56*F56</f>
        <v>88.78</v>
      </c>
    </row>
    <row r="58" spans="2:7" x14ac:dyDescent="0.25">
      <c r="B58" s="9"/>
      <c r="C58" s="9" t="s">
        <v>65</v>
      </c>
      <c r="D58" s="9"/>
      <c r="E58" s="9"/>
      <c r="F58" s="9"/>
      <c r="G58" s="10">
        <f>SUM(G8,G54,G19,G27,G35,G43,G51,G55,G56)</f>
        <v>47186.450000000004</v>
      </c>
    </row>
  </sheetData>
  <mergeCells count="6">
    <mergeCell ref="B45:G45"/>
    <mergeCell ref="B2:G2"/>
    <mergeCell ref="B10:G10"/>
    <mergeCell ref="B21:G21"/>
    <mergeCell ref="B29:G29"/>
    <mergeCell ref="B37:G37"/>
  </mergeCells>
  <pageMargins left="0.51180555555555496" right="0.51180555555555496" top="0.78749999999999998" bottom="0.78749999999999998" header="0.51180555555555496" footer="0.51180555555555496"/>
  <pageSetup paperSize="9" scale="90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G45"/>
  <sheetViews>
    <sheetView topLeftCell="A28" zoomScaleNormal="100" workbookViewId="0">
      <selection activeCell="C41" sqref="C41"/>
    </sheetView>
  </sheetViews>
  <sheetFormatPr defaultColWidth="8.42578125" defaultRowHeight="15" x14ac:dyDescent="0.25"/>
  <cols>
    <col min="3" max="3" width="82" bestFit="1" customWidth="1"/>
    <col min="6" max="6" width="13.28515625" customWidth="1"/>
    <col min="7" max="7" width="14.28515625" customWidth="1"/>
  </cols>
  <sheetData>
    <row r="3" spans="2:7" x14ac:dyDescent="0.25">
      <c r="B3" s="197" t="s">
        <v>66</v>
      </c>
      <c r="C3" s="197"/>
      <c r="D3" s="197"/>
      <c r="E3" s="197"/>
      <c r="F3" s="197"/>
      <c r="G3" s="197"/>
    </row>
    <row r="4" spans="2:7" x14ac:dyDescent="0.25">
      <c r="B4" s="9" t="s">
        <v>19</v>
      </c>
      <c r="C4" s="9" t="s">
        <v>3</v>
      </c>
      <c r="D4" s="9" t="s">
        <v>37</v>
      </c>
      <c r="E4" s="9" t="s">
        <v>38</v>
      </c>
      <c r="F4" s="9" t="s">
        <v>39</v>
      </c>
      <c r="G4" s="9" t="s">
        <v>4</v>
      </c>
    </row>
    <row r="5" spans="2:7" x14ac:dyDescent="0.25">
      <c r="B5" s="9">
        <v>4</v>
      </c>
      <c r="C5" t="s">
        <v>67</v>
      </c>
      <c r="D5" s="9" t="s">
        <v>40</v>
      </c>
      <c r="E5" s="9">
        <v>12</v>
      </c>
      <c r="F5" s="19">
        <f>'Teste Prod. e Bomb.'!H21</f>
        <v>295.58999999999997</v>
      </c>
      <c r="G5" s="19">
        <f>E5*F5</f>
        <v>3547.08</v>
      </c>
    </row>
    <row r="6" spans="2:7" x14ac:dyDescent="0.25">
      <c r="B6" s="9">
        <v>8</v>
      </c>
      <c r="C6" s="9" t="s">
        <v>41</v>
      </c>
      <c r="D6" s="9" t="s">
        <v>20</v>
      </c>
      <c r="E6" s="9">
        <v>1</v>
      </c>
      <c r="F6" s="19">
        <f>'Analise de Água'!H9</f>
        <v>690.19</v>
      </c>
      <c r="G6" s="10">
        <f>F6*E6</f>
        <v>690.19</v>
      </c>
    </row>
    <row r="7" spans="2:7" x14ac:dyDescent="0.25">
      <c r="B7" s="9">
        <v>2</v>
      </c>
      <c r="C7" s="20" t="s">
        <v>68</v>
      </c>
      <c r="D7" s="9" t="s">
        <v>40</v>
      </c>
      <c r="E7" s="9">
        <v>36</v>
      </c>
      <c r="F7" s="19">
        <f>'Retirada de Bomba Submersa'!H15</f>
        <v>195.81</v>
      </c>
      <c r="G7" s="19">
        <f>E7*F7</f>
        <v>7049.16</v>
      </c>
    </row>
    <row r="8" spans="2:7" x14ac:dyDescent="0.25">
      <c r="B8" s="9">
        <v>5</v>
      </c>
      <c r="C8" s="9" t="s">
        <v>312</v>
      </c>
      <c r="D8" s="9" t="s">
        <v>20</v>
      </c>
      <c r="E8" s="9">
        <v>1</v>
      </c>
      <c r="F8" s="19">
        <f>'Lacrar Poço'!H68</f>
        <v>699.76</v>
      </c>
      <c r="G8" s="19">
        <f>E8*F8</f>
        <v>699.76</v>
      </c>
    </row>
    <row r="9" spans="2:7" x14ac:dyDescent="0.25">
      <c r="B9" s="9"/>
      <c r="C9" s="9"/>
      <c r="D9" s="9"/>
      <c r="E9" s="9"/>
      <c r="F9" s="9"/>
      <c r="G9" s="9"/>
    </row>
    <row r="10" spans="2:7" x14ac:dyDescent="0.25">
      <c r="B10" s="9"/>
      <c r="C10" s="9" t="s">
        <v>43</v>
      </c>
      <c r="D10" s="9"/>
      <c r="E10" s="9"/>
      <c r="F10" s="9"/>
      <c r="G10" s="10">
        <f>G5+G6+G7+G8</f>
        <v>11986.19</v>
      </c>
    </row>
    <row r="12" spans="2:7" x14ac:dyDescent="0.25">
      <c r="B12" s="197" t="s">
        <v>69</v>
      </c>
      <c r="C12" s="197"/>
      <c r="D12" s="197"/>
      <c r="E12" s="197"/>
      <c r="F12" s="197"/>
      <c r="G12" s="197"/>
    </row>
    <row r="13" spans="2:7" x14ac:dyDescent="0.25">
      <c r="B13" s="9" t="s">
        <v>19</v>
      </c>
      <c r="C13" s="9" t="s">
        <v>3</v>
      </c>
      <c r="D13" s="9" t="s">
        <v>37</v>
      </c>
      <c r="E13" s="9" t="s">
        <v>38</v>
      </c>
      <c r="F13" s="9" t="s">
        <v>39</v>
      </c>
      <c r="G13" s="9" t="s">
        <v>4</v>
      </c>
    </row>
    <row r="14" spans="2:7" x14ac:dyDescent="0.25">
      <c r="B14" s="9">
        <v>13</v>
      </c>
      <c r="C14" s="9" t="s">
        <v>307</v>
      </c>
      <c r="D14" s="9" t="s">
        <v>40</v>
      </c>
      <c r="E14" s="9">
        <v>12</v>
      </c>
      <c r="F14" s="19">
        <f>'Teste Prod. e Bomb.'!H30</f>
        <v>48.79</v>
      </c>
      <c r="G14" s="19">
        <f>E14*F14</f>
        <v>585.48</v>
      </c>
    </row>
    <row r="15" spans="2:7" x14ac:dyDescent="0.25">
      <c r="B15" s="9">
        <v>8</v>
      </c>
      <c r="C15" s="9" t="s">
        <v>41</v>
      </c>
      <c r="D15" s="9" t="s">
        <v>20</v>
      </c>
      <c r="E15" s="9">
        <v>1</v>
      </c>
      <c r="F15" s="19">
        <f>'Analise de Água'!H9</f>
        <v>690.19</v>
      </c>
      <c r="G15" s="19">
        <f>E15*F15</f>
        <v>690.19</v>
      </c>
    </row>
    <row r="16" spans="2:7" x14ac:dyDescent="0.25">
      <c r="B16" s="9">
        <v>9</v>
      </c>
      <c r="C16" s="9" t="s">
        <v>309</v>
      </c>
      <c r="D16" s="9" t="s">
        <v>40</v>
      </c>
      <c r="E16" s="9">
        <v>1</v>
      </c>
      <c r="F16" s="19">
        <f>'Limp. Sanitária 02'!G10</f>
        <v>3585.15</v>
      </c>
      <c r="G16" s="19">
        <f>E16*F16</f>
        <v>3585.15</v>
      </c>
    </row>
    <row r="17" spans="2:7" x14ac:dyDescent="0.25">
      <c r="B17" s="9"/>
      <c r="C17" s="9"/>
      <c r="D17" s="9"/>
      <c r="E17" s="9"/>
      <c r="F17" s="9"/>
      <c r="G17" s="9"/>
    </row>
    <row r="18" spans="2:7" x14ac:dyDescent="0.25">
      <c r="B18" s="9"/>
      <c r="C18" s="9" t="s">
        <v>50</v>
      </c>
      <c r="D18" s="9"/>
      <c r="E18" s="9"/>
      <c r="F18" s="9"/>
      <c r="G18" s="10">
        <f>SUM(G14:G16)</f>
        <v>4860.82</v>
      </c>
    </row>
    <row r="20" spans="2:7" x14ac:dyDescent="0.25">
      <c r="B20" s="197" t="s">
        <v>70</v>
      </c>
      <c r="C20" s="197"/>
      <c r="D20" s="197"/>
      <c r="E20" s="197"/>
      <c r="F20" s="197"/>
      <c r="G20" s="197"/>
    </row>
    <row r="21" spans="2:7" x14ac:dyDescent="0.25">
      <c r="B21" s="9" t="s">
        <v>19</v>
      </c>
      <c r="C21" s="9" t="s">
        <v>3</v>
      </c>
      <c r="D21" s="9" t="s">
        <v>37</v>
      </c>
      <c r="E21" s="9" t="s">
        <v>38</v>
      </c>
      <c r="F21" s="9" t="s">
        <v>39</v>
      </c>
      <c r="G21" s="9" t="s">
        <v>4</v>
      </c>
    </row>
    <row r="22" spans="2:7" x14ac:dyDescent="0.25">
      <c r="B22" s="9">
        <v>2</v>
      </c>
      <c r="C22" s="9" t="s">
        <v>68</v>
      </c>
      <c r="D22" s="9" t="s">
        <v>40</v>
      </c>
      <c r="E22" s="9">
        <v>24</v>
      </c>
      <c r="F22" s="19">
        <f>'Retirada de Bomba Submersa'!H15</f>
        <v>195.81</v>
      </c>
      <c r="G22" s="19">
        <f>E22*F22</f>
        <v>4699.4400000000005</v>
      </c>
    </row>
    <row r="23" spans="2:7" x14ac:dyDescent="0.25">
      <c r="B23" s="9">
        <v>4</v>
      </c>
      <c r="C23" t="s">
        <v>67</v>
      </c>
      <c r="D23" s="9" t="s">
        <v>40</v>
      </c>
      <c r="E23" s="9">
        <v>12</v>
      </c>
      <c r="F23" s="19">
        <f>'Teste Prod. e Bomb.'!H21</f>
        <v>295.58999999999997</v>
      </c>
      <c r="G23" s="19">
        <f>E23*F23</f>
        <v>3547.08</v>
      </c>
    </row>
    <row r="24" spans="2:7" x14ac:dyDescent="0.25">
      <c r="B24" s="9">
        <v>8</v>
      </c>
      <c r="C24" s="9" t="s">
        <v>41</v>
      </c>
      <c r="D24" s="9" t="s">
        <v>20</v>
      </c>
      <c r="E24" s="9">
        <v>1</v>
      </c>
      <c r="F24" s="19">
        <f>'Analise de Água'!H9</f>
        <v>690.19</v>
      </c>
      <c r="G24" s="19">
        <f>E24*F24</f>
        <v>690.19</v>
      </c>
    </row>
    <row r="25" spans="2:7" x14ac:dyDescent="0.25">
      <c r="B25" s="9">
        <v>9</v>
      </c>
      <c r="C25" s="9" t="s">
        <v>309</v>
      </c>
      <c r="D25" s="9" t="s">
        <v>20</v>
      </c>
      <c r="E25" s="9">
        <v>1</v>
      </c>
      <c r="F25" s="19">
        <f>'Limp. Sanitária 02'!G10</f>
        <v>3585.15</v>
      </c>
      <c r="G25" s="19">
        <f>E25*F25</f>
        <v>3585.15</v>
      </c>
    </row>
    <row r="26" spans="2:7" x14ac:dyDescent="0.25">
      <c r="B26" s="9">
        <v>5</v>
      </c>
      <c r="C26" s="9" t="s">
        <v>312</v>
      </c>
      <c r="D26" s="9" t="s">
        <v>20</v>
      </c>
      <c r="E26" s="9">
        <v>1</v>
      </c>
      <c r="F26" s="19">
        <f>'Lacrar Poço'!H68</f>
        <v>699.76</v>
      </c>
      <c r="G26" s="19">
        <f>E26*F26</f>
        <v>699.76</v>
      </c>
    </row>
    <row r="27" spans="2:7" x14ac:dyDescent="0.25">
      <c r="B27" s="9"/>
      <c r="C27" s="9"/>
      <c r="D27" s="9"/>
      <c r="E27" s="9"/>
      <c r="F27" s="9"/>
      <c r="G27" s="9"/>
    </row>
    <row r="28" spans="2:7" x14ac:dyDescent="0.25">
      <c r="B28" s="9"/>
      <c r="C28" s="9" t="s">
        <v>54</v>
      </c>
      <c r="D28" s="9"/>
      <c r="E28" s="9"/>
      <c r="F28" s="9"/>
      <c r="G28" s="10">
        <f>SUM(G22:G26)</f>
        <v>13221.62</v>
      </c>
    </row>
    <row r="29" spans="2:7" x14ac:dyDescent="0.25">
      <c r="G29" s="18"/>
    </row>
    <row r="30" spans="2:7" x14ac:dyDescent="0.25">
      <c r="B30" s="197" t="s">
        <v>71</v>
      </c>
      <c r="C30" s="197"/>
      <c r="D30" s="197"/>
      <c r="E30" s="197"/>
      <c r="F30" s="197"/>
      <c r="G30" s="197"/>
    </row>
    <row r="31" spans="2:7" x14ac:dyDescent="0.25">
      <c r="B31" s="9" t="s">
        <v>19</v>
      </c>
      <c r="C31" s="9" t="s">
        <v>3</v>
      </c>
      <c r="D31" s="9" t="s">
        <v>37</v>
      </c>
      <c r="E31" s="9" t="s">
        <v>38</v>
      </c>
      <c r="F31" s="9" t="s">
        <v>39</v>
      </c>
      <c r="G31" s="9" t="s">
        <v>4</v>
      </c>
    </row>
    <row r="32" spans="2:7" x14ac:dyDescent="0.25">
      <c r="B32" s="9">
        <v>9</v>
      </c>
      <c r="C32" s="9" t="s">
        <v>313</v>
      </c>
      <c r="D32" s="9" t="s">
        <v>20</v>
      </c>
      <c r="E32" s="9">
        <v>1</v>
      </c>
      <c r="F32" s="19">
        <f>'Limp. Sanitária 02'!G10</f>
        <v>3585.15</v>
      </c>
      <c r="G32" s="19">
        <f>E32*F32</f>
        <v>3585.15</v>
      </c>
    </row>
    <row r="33" spans="2:7" x14ac:dyDescent="0.25">
      <c r="B33" s="9">
        <v>4</v>
      </c>
      <c r="C33" s="9" t="s">
        <v>67</v>
      </c>
      <c r="D33" s="9" t="s">
        <v>40</v>
      </c>
      <c r="E33" s="9">
        <v>12</v>
      </c>
      <c r="F33" s="19">
        <f>'Teste Prod. e Bomb.'!H21</f>
        <v>295.58999999999997</v>
      </c>
      <c r="G33" s="19">
        <f>E33*F33</f>
        <v>3547.08</v>
      </c>
    </row>
    <row r="34" spans="2:7" x14ac:dyDescent="0.25">
      <c r="B34" s="9">
        <v>8</v>
      </c>
      <c r="C34" s="9" t="s">
        <v>41</v>
      </c>
      <c r="D34" s="9" t="s">
        <v>20</v>
      </c>
      <c r="E34" s="9">
        <v>1</v>
      </c>
      <c r="F34" s="19">
        <f>'Analise de Água'!H9</f>
        <v>690.19</v>
      </c>
      <c r="G34" s="19">
        <f>E34*F34</f>
        <v>690.19</v>
      </c>
    </row>
    <row r="35" spans="2:7" x14ac:dyDescent="0.25">
      <c r="B35" s="9">
        <v>5</v>
      </c>
      <c r="C35" s="9" t="s">
        <v>312</v>
      </c>
      <c r="D35" s="9" t="s">
        <v>20</v>
      </c>
      <c r="E35" s="9">
        <v>1</v>
      </c>
      <c r="F35" s="19">
        <f>'Lacrar Poço'!H68</f>
        <v>699.76</v>
      </c>
      <c r="G35" s="19">
        <f>E35*F35</f>
        <v>699.76</v>
      </c>
    </row>
    <row r="36" spans="2:7" x14ac:dyDescent="0.25">
      <c r="B36" s="9"/>
      <c r="C36" s="9"/>
      <c r="D36" s="9"/>
      <c r="E36" s="9"/>
      <c r="F36" s="9"/>
      <c r="G36" s="9"/>
    </row>
    <row r="37" spans="2:7" x14ac:dyDescent="0.25">
      <c r="B37" s="9"/>
      <c r="C37" s="9" t="s">
        <v>57</v>
      </c>
      <c r="D37" s="9"/>
      <c r="E37" s="9"/>
      <c r="F37" s="9"/>
      <c r="G37" s="10">
        <f>SUM(G32:G35)</f>
        <v>8522.18</v>
      </c>
    </row>
    <row r="40" spans="2:7" x14ac:dyDescent="0.25">
      <c r="B40" s="9" t="s">
        <v>19</v>
      </c>
      <c r="C40" s="9" t="s">
        <v>3</v>
      </c>
      <c r="D40" s="9" t="s">
        <v>37</v>
      </c>
      <c r="E40" s="9" t="s">
        <v>38</v>
      </c>
      <c r="F40" s="9" t="s">
        <v>39</v>
      </c>
      <c r="G40" s="9" t="s">
        <v>4</v>
      </c>
    </row>
    <row r="41" spans="2:7" x14ac:dyDescent="0.25">
      <c r="B41" s="9">
        <v>12</v>
      </c>
      <c r="C41" s="9" t="s">
        <v>72</v>
      </c>
      <c r="D41" s="9" t="s">
        <v>34</v>
      </c>
      <c r="E41" s="9">
        <v>1000</v>
      </c>
      <c r="F41" s="19">
        <f>'Mobilização de Equipe'!G18</f>
        <v>26.16</v>
      </c>
      <c r="G41" s="19">
        <f>E41*F41</f>
        <v>26160</v>
      </c>
    </row>
    <row r="42" spans="2:7" x14ac:dyDescent="0.25">
      <c r="B42" s="9">
        <v>10</v>
      </c>
      <c r="C42" s="9" t="s">
        <v>73</v>
      </c>
      <c r="D42" s="9" t="s">
        <v>40</v>
      </c>
      <c r="E42" s="9">
        <v>16</v>
      </c>
      <c r="F42" s="19">
        <f>Coordenação!H8</f>
        <v>66.95</v>
      </c>
      <c r="G42" s="19">
        <f>E42*F42</f>
        <v>1071.2</v>
      </c>
    </row>
    <row r="43" spans="2:7" x14ac:dyDescent="0.25">
      <c r="B43" s="9">
        <v>11</v>
      </c>
      <c r="C43" s="9" t="s">
        <v>64</v>
      </c>
      <c r="D43" s="9" t="s">
        <v>20</v>
      </c>
      <c r="E43" s="9">
        <v>1</v>
      </c>
      <c r="F43" s="19">
        <f>'Emissão de ART'!H7</f>
        <v>88.78</v>
      </c>
      <c r="G43" s="19">
        <f>E43*F43</f>
        <v>88.78</v>
      </c>
    </row>
    <row r="45" spans="2:7" x14ac:dyDescent="0.25">
      <c r="B45" s="9"/>
      <c r="C45" s="9" t="s">
        <v>16</v>
      </c>
      <c r="D45" s="9"/>
      <c r="E45" s="9"/>
      <c r="F45" s="9"/>
      <c r="G45" s="10">
        <f>SUM(G41,G10,G18,G28,G37,G42,G43)</f>
        <v>65910.790000000008</v>
      </c>
    </row>
  </sheetData>
  <mergeCells count="4">
    <mergeCell ref="B3:G3"/>
    <mergeCell ref="B12:G12"/>
    <mergeCell ref="B20:G20"/>
    <mergeCell ref="B30:G30"/>
  </mergeCells>
  <pageMargins left="0.51180555555555496" right="0.51180555555555496" top="0.78749999999999998" bottom="0.78749999999999998" header="0.51180555555555496" footer="0.51180555555555496"/>
  <pageSetup paperSize="9" scale="85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L28"/>
  <sheetViews>
    <sheetView zoomScaleNormal="100" workbookViewId="0">
      <selection activeCell="C10" sqref="C10"/>
    </sheetView>
  </sheetViews>
  <sheetFormatPr defaultColWidth="8.42578125" defaultRowHeight="15" x14ac:dyDescent="0.25"/>
  <cols>
    <col min="1" max="1" width="12.42578125" customWidth="1"/>
    <col min="2" max="2" width="14.7109375" customWidth="1"/>
    <col min="3" max="3" width="74.28515625" customWidth="1"/>
    <col min="4" max="4" width="4.42578125" customWidth="1"/>
    <col min="5" max="5" width="17" customWidth="1"/>
    <col min="6" max="6" width="19.7109375" customWidth="1"/>
    <col min="7" max="7" width="14.42578125" customWidth="1"/>
  </cols>
  <sheetData>
    <row r="4" spans="1:7" ht="40.5" customHeight="1" x14ac:dyDescent="0.25">
      <c r="A4" s="21" t="s">
        <v>74</v>
      </c>
      <c r="B4" s="21" t="s">
        <v>75</v>
      </c>
      <c r="C4" s="22" t="s">
        <v>76</v>
      </c>
      <c r="D4" s="21" t="s">
        <v>34</v>
      </c>
      <c r="E4" s="23" t="s">
        <v>77</v>
      </c>
      <c r="F4" s="24" t="s">
        <v>78</v>
      </c>
      <c r="G4" s="25" t="s">
        <v>4</v>
      </c>
    </row>
    <row r="5" spans="1:7" ht="46.5" customHeight="1" x14ac:dyDescent="0.25">
      <c r="A5" s="26" t="s">
        <v>79</v>
      </c>
      <c r="B5" s="27">
        <v>88282</v>
      </c>
      <c r="C5" s="28" t="s">
        <v>80</v>
      </c>
      <c r="D5" s="27" t="s">
        <v>23</v>
      </c>
      <c r="E5" s="29">
        <v>0.01</v>
      </c>
      <c r="F5" s="30">
        <v>20.420000000000002</v>
      </c>
      <c r="G5" s="31">
        <f>ROUND(E5*F5,2)</f>
        <v>0.2</v>
      </c>
    </row>
    <row r="6" spans="1:7" ht="29.25" customHeight="1" x14ac:dyDescent="0.25">
      <c r="A6" s="26" t="s">
        <v>79</v>
      </c>
      <c r="B6" s="27">
        <v>88316</v>
      </c>
      <c r="C6" s="28" t="s">
        <v>81</v>
      </c>
      <c r="D6" s="27" t="s">
        <v>23</v>
      </c>
      <c r="E6" s="29">
        <v>0.1</v>
      </c>
      <c r="F6" s="30">
        <v>17.43</v>
      </c>
      <c r="G6" s="31">
        <f>ROUND(E6*F6,2)</f>
        <v>1.74</v>
      </c>
    </row>
    <row r="7" spans="1:7" ht="31.5" customHeight="1" x14ac:dyDescent="0.25">
      <c r="A7" s="26" t="s">
        <v>82</v>
      </c>
      <c r="B7" s="32" t="s">
        <v>83</v>
      </c>
      <c r="C7" s="28" t="s">
        <v>84</v>
      </c>
      <c r="D7" s="27" t="s">
        <v>85</v>
      </c>
      <c r="E7" s="29">
        <v>0.3</v>
      </c>
      <c r="F7" s="33">
        <v>7.63</v>
      </c>
      <c r="G7" s="31">
        <f>ROUND(E7*F7,2)</f>
        <v>2.29</v>
      </c>
    </row>
    <row r="8" spans="1:7" ht="22.5" x14ac:dyDescent="0.25">
      <c r="A8" s="26" t="s">
        <v>82</v>
      </c>
      <c r="B8" s="27">
        <v>4227</v>
      </c>
      <c r="C8" s="28" t="s">
        <v>86</v>
      </c>
      <c r="D8" s="27" t="s">
        <v>85</v>
      </c>
      <c r="E8" s="29">
        <v>5.0000000000000001E-3</v>
      </c>
      <c r="F8" s="30">
        <v>26.34</v>
      </c>
      <c r="G8" s="31">
        <f>ROUND(E8*F8,2)</f>
        <v>0.13</v>
      </c>
    </row>
    <row r="9" spans="1:7" x14ac:dyDescent="0.25">
      <c r="A9" s="26" t="s">
        <v>79</v>
      </c>
      <c r="B9" s="32" t="s">
        <v>87</v>
      </c>
      <c r="C9" s="28" t="s">
        <v>88</v>
      </c>
      <c r="D9" s="27" t="s">
        <v>34</v>
      </c>
      <c r="E9" s="29">
        <v>0.01</v>
      </c>
      <c r="F9" s="30">
        <v>12</v>
      </c>
      <c r="G9" s="31">
        <f>ROUND(E9*F9,2)</f>
        <v>0.12</v>
      </c>
    </row>
    <row r="10" spans="1:7" x14ac:dyDescent="0.25">
      <c r="A10" s="26" t="s">
        <v>79</v>
      </c>
      <c r="B10" s="27">
        <v>88282</v>
      </c>
      <c r="C10" s="28" t="s">
        <v>80</v>
      </c>
      <c r="D10" s="27" t="s">
        <v>23</v>
      </c>
      <c r="E10" s="29">
        <v>0.01</v>
      </c>
      <c r="F10" s="30">
        <v>20.420000000000002</v>
      </c>
      <c r="G10" s="31">
        <f t="shared" ref="G10:G15" si="0">F10*E10</f>
        <v>0.20420000000000002</v>
      </c>
    </row>
    <row r="11" spans="1:7" x14ac:dyDescent="0.25">
      <c r="A11" s="26" t="s">
        <v>79</v>
      </c>
      <c r="B11" s="27">
        <v>88316</v>
      </c>
      <c r="C11" s="28" t="s">
        <v>81</v>
      </c>
      <c r="D11" s="34" t="s">
        <v>23</v>
      </c>
      <c r="E11" s="29">
        <v>0.1</v>
      </c>
      <c r="F11" s="30">
        <v>17.43</v>
      </c>
      <c r="G11" s="31">
        <f t="shared" si="0"/>
        <v>1.7430000000000001</v>
      </c>
    </row>
    <row r="12" spans="1:7" x14ac:dyDescent="0.25">
      <c r="A12" s="26" t="s">
        <v>82</v>
      </c>
      <c r="B12" s="27" t="s">
        <v>83</v>
      </c>
      <c r="C12" s="28" t="s">
        <v>84</v>
      </c>
      <c r="D12" s="34" t="s">
        <v>85</v>
      </c>
      <c r="E12" s="29">
        <v>0.3</v>
      </c>
      <c r="F12" s="30">
        <v>7.3</v>
      </c>
      <c r="G12" s="31">
        <f t="shared" si="0"/>
        <v>2.19</v>
      </c>
    </row>
    <row r="13" spans="1:7" ht="22.5" x14ac:dyDescent="0.25">
      <c r="A13" s="26" t="s">
        <v>82</v>
      </c>
      <c r="B13" s="27">
        <v>4227</v>
      </c>
      <c r="C13" s="28" t="s">
        <v>86</v>
      </c>
      <c r="D13" s="34" t="s">
        <v>85</v>
      </c>
      <c r="E13" s="29">
        <v>5.0000000000000001E-3</v>
      </c>
      <c r="F13" s="30">
        <v>29.2</v>
      </c>
      <c r="G13" s="31">
        <f t="shared" si="0"/>
        <v>0.14599999999999999</v>
      </c>
    </row>
    <row r="14" spans="1:7" x14ac:dyDescent="0.25">
      <c r="A14" s="26" t="s">
        <v>82</v>
      </c>
      <c r="B14" s="27">
        <v>4229</v>
      </c>
      <c r="C14" s="28" t="s">
        <v>89</v>
      </c>
      <c r="D14" s="34" t="s">
        <v>90</v>
      </c>
      <c r="E14" s="35">
        <v>7.0000000000000007E-2</v>
      </c>
      <c r="F14" s="30">
        <v>42.87</v>
      </c>
      <c r="G14" s="31">
        <f t="shared" si="0"/>
        <v>3.0009000000000001</v>
      </c>
    </row>
    <row r="15" spans="1:7" x14ac:dyDescent="0.25">
      <c r="A15" s="26" t="s">
        <v>79</v>
      </c>
      <c r="B15" s="32">
        <v>95620</v>
      </c>
      <c r="C15" s="28" t="s">
        <v>91</v>
      </c>
      <c r="D15" s="27" t="s">
        <v>92</v>
      </c>
      <c r="E15" s="29">
        <v>0.4</v>
      </c>
      <c r="F15" s="30">
        <v>23.43</v>
      </c>
      <c r="G15" s="31">
        <f t="shared" si="0"/>
        <v>9.3719999999999999</v>
      </c>
    </row>
    <row r="16" spans="1:7" x14ac:dyDescent="0.25">
      <c r="A16" s="36"/>
      <c r="D16" s="206" t="s">
        <v>93</v>
      </c>
      <c r="E16" s="206"/>
      <c r="F16" s="206"/>
      <c r="G16" s="37">
        <f>ROUND((SUM(G5:G15)),2)</f>
        <v>21.14</v>
      </c>
    </row>
    <row r="17" spans="1:12" x14ac:dyDescent="0.25">
      <c r="A17" s="38"/>
      <c r="D17" s="206" t="str">
        <f>"BDI ( " &amp;TEXT('[1]CPU-Instalação'!$H$8,"0,00") &amp;" ) %:"</f>
        <v>BDI ( 23,75 ) %:</v>
      </c>
      <c r="E17" s="206"/>
      <c r="F17" s="206"/>
      <c r="G17" s="39">
        <f>ROUND(G16*('[1]CPU-Instalação'!$H$8/100),2)</f>
        <v>5.0199999999999996</v>
      </c>
    </row>
    <row r="18" spans="1:12" x14ac:dyDescent="0.25">
      <c r="A18" s="40"/>
      <c r="B18" s="41"/>
      <c r="C18" s="41"/>
      <c r="D18" s="207" t="s">
        <v>94</v>
      </c>
      <c r="E18" s="207"/>
      <c r="F18" s="207"/>
      <c r="G18" s="42">
        <f>ROUND(SUM(G16:G17),2)</f>
        <v>26.16</v>
      </c>
    </row>
    <row r="28" spans="1:12" x14ac:dyDescent="0.25">
      <c r="L28" s="43"/>
    </row>
  </sheetData>
  <mergeCells count="3">
    <mergeCell ref="D16:F16"/>
    <mergeCell ref="D17:F17"/>
    <mergeCell ref="D18:F18"/>
  </mergeCells>
  <pageMargins left="0.51180555555555496" right="0.51180555555555496" top="0.78749999999999998" bottom="0.78749999999999998" header="0.51180555555555496" footer="0.51180555555555496"/>
  <pageSetup paperSize="9" scale="55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4:H8"/>
  <sheetViews>
    <sheetView zoomScaleNormal="100" workbookViewId="0">
      <selection activeCell="D19" sqref="D19"/>
    </sheetView>
  </sheetViews>
  <sheetFormatPr defaultColWidth="8.42578125" defaultRowHeight="15" x14ac:dyDescent="0.25"/>
  <cols>
    <col min="2" max="2" width="13.42578125" customWidth="1"/>
    <col min="3" max="3" width="11.7109375" customWidth="1"/>
    <col min="4" max="4" width="57" customWidth="1"/>
    <col min="6" max="6" width="17" customWidth="1"/>
    <col min="7" max="7" width="19.7109375" customWidth="1"/>
    <col min="8" max="8" width="14.42578125" customWidth="1"/>
  </cols>
  <sheetData>
    <row r="4" spans="2:8" ht="31.5" customHeight="1" x14ac:dyDescent="0.25">
      <c r="B4" s="21" t="s">
        <v>95</v>
      </c>
      <c r="C4" s="21" t="s">
        <v>75</v>
      </c>
      <c r="D4" s="22" t="s">
        <v>96</v>
      </c>
      <c r="E4" s="21" t="s">
        <v>23</v>
      </c>
      <c r="F4" s="23" t="s">
        <v>77</v>
      </c>
      <c r="G4" s="24" t="s">
        <v>78</v>
      </c>
      <c r="H4" s="25" t="s">
        <v>4</v>
      </c>
    </row>
    <row r="5" spans="2:8" x14ac:dyDescent="0.25">
      <c r="B5" s="9" t="s">
        <v>97</v>
      </c>
      <c r="C5" s="3" t="s">
        <v>98</v>
      </c>
      <c r="D5" s="3" t="s">
        <v>99</v>
      </c>
      <c r="E5" s="3" t="s">
        <v>23</v>
      </c>
      <c r="F5" s="44">
        <v>1</v>
      </c>
      <c r="G5" s="19">
        <v>54.1006</v>
      </c>
      <c r="H5" s="19">
        <f>G5*F5</f>
        <v>54.1006</v>
      </c>
    </row>
    <row r="6" spans="2:8" x14ac:dyDescent="0.25">
      <c r="B6" s="9"/>
      <c r="C6" s="9"/>
      <c r="D6" s="9"/>
      <c r="E6" s="206" t="s">
        <v>93</v>
      </c>
      <c r="F6" s="206"/>
      <c r="G6" s="206"/>
      <c r="H6" s="19">
        <f>SUM(H5:H5)</f>
        <v>54.1006</v>
      </c>
    </row>
    <row r="7" spans="2:8" x14ac:dyDescent="0.25">
      <c r="B7" s="9"/>
      <c r="C7" s="9"/>
      <c r="D7" s="9"/>
      <c r="E7" s="206" t="s">
        <v>100</v>
      </c>
      <c r="F7" s="206"/>
      <c r="G7" s="206"/>
      <c r="H7" s="45">
        <f>H6*23.75%</f>
        <v>12.8488925</v>
      </c>
    </row>
    <row r="8" spans="2:8" x14ac:dyDescent="0.25">
      <c r="B8" s="9"/>
      <c r="C8" s="9"/>
      <c r="D8" s="9"/>
      <c r="E8" s="206" t="s">
        <v>94</v>
      </c>
      <c r="F8" s="206"/>
      <c r="G8" s="206"/>
      <c r="H8" s="46">
        <f>ROUND(SUM(H6:H7),2)</f>
        <v>66.95</v>
      </c>
    </row>
  </sheetData>
  <mergeCells count="3">
    <mergeCell ref="E6:G6"/>
    <mergeCell ref="E7:G7"/>
    <mergeCell ref="E8:G8"/>
  </mergeCells>
  <pageMargins left="0.51180555555555496" right="0.51180555555555496" top="0.78749999999999998" bottom="0.78749999999999998" header="0.51180555555555496" footer="0.51180555555555496"/>
  <pageSetup paperSize="9" scale="55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H7"/>
  <sheetViews>
    <sheetView zoomScaleNormal="100" workbookViewId="0">
      <selection activeCell="F14" sqref="F14"/>
    </sheetView>
  </sheetViews>
  <sheetFormatPr defaultColWidth="8.42578125" defaultRowHeight="15" x14ac:dyDescent="0.25"/>
  <cols>
    <col min="2" max="2" width="13.42578125" customWidth="1"/>
    <col min="4" max="4" width="28.5703125" customWidth="1"/>
    <col min="6" max="6" width="13.140625" customWidth="1"/>
    <col min="7" max="7" width="15.140625" customWidth="1"/>
    <col min="8" max="8" width="11" customWidth="1"/>
  </cols>
  <sheetData>
    <row r="2" spans="2:8" ht="29.25" customHeight="1" x14ac:dyDescent="0.25"/>
    <row r="3" spans="2:8" ht="35.25" customHeight="1" x14ac:dyDescent="0.25">
      <c r="B3" s="21" t="s">
        <v>101</v>
      </c>
      <c r="C3" s="21" t="s">
        <v>75</v>
      </c>
      <c r="D3" s="22" t="s">
        <v>102</v>
      </c>
      <c r="E3" s="21" t="s">
        <v>20</v>
      </c>
      <c r="F3" s="23" t="s">
        <v>77</v>
      </c>
      <c r="G3" s="24" t="s">
        <v>78</v>
      </c>
      <c r="H3" s="25" t="s">
        <v>4</v>
      </c>
    </row>
    <row r="4" spans="2:8" x14ac:dyDescent="0.25">
      <c r="B4" s="9"/>
      <c r="C4" s="3"/>
      <c r="D4" s="3" t="s">
        <v>64</v>
      </c>
      <c r="E4" s="3" t="s">
        <v>20</v>
      </c>
      <c r="F4" s="44">
        <v>1</v>
      </c>
      <c r="G4" s="19">
        <v>88.78</v>
      </c>
      <c r="H4" s="19">
        <f>G4*F4</f>
        <v>88.78</v>
      </c>
    </row>
    <row r="5" spans="2:8" x14ac:dyDescent="0.25">
      <c r="B5" s="9"/>
      <c r="C5" s="9"/>
      <c r="D5" s="9"/>
      <c r="E5" s="206" t="s">
        <v>93</v>
      </c>
      <c r="F5" s="206"/>
      <c r="G5" s="206"/>
      <c r="H5" s="19">
        <f>SUM(H4:H4)</f>
        <v>88.78</v>
      </c>
    </row>
    <row r="6" spans="2:8" x14ac:dyDescent="0.25">
      <c r="B6" s="9"/>
      <c r="C6" s="9"/>
      <c r="D6" s="9"/>
      <c r="E6" s="206"/>
      <c r="F6" s="206"/>
      <c r="G6" s="206"/>
      <c r="H6" s="45"/>
    </row>
    <row r="7" spans="2:8" x14ac:dyDescent="0.25">
      <c r="B7" s="9"/>
      <c r="C7" s="9"/>
      <c r="D7" s="9"/>
      <c r="E7" s="206" t="s">
        <v>94</v>
      </c>
      <c r="F7" s="206"/>
      <c r="G7" s="206"/>
      <c r="H7" s="46">
        <f>ROUND(SUM(H4),2)</f>
        <v>88.78</v>
      </c>
    </row>
  </sheetData>
  <mergeCells count="3">
    <mergeCell ref="E5:G5"/>
    <mergeCell ref="E6:G6"/>
    <mergeCell ref="E7:G7"/>
  </mergeCells>
  <pageMargins left="0.51180555555555496" right="0.51180555555555496" top="0.78749999999999998" bottom="0.78749999999999998" header="0.51180555555555496" footer="0.51180555555555496"/>
  <pageSetup paperSize="9" scale="75" firstPageNumber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5:H12"/>
  <sheetViews>
    <sheetView zoomScaleNormal="100" workbookViewId="0">
      <selection activeCell="F24" sqref="F24"/>
    </sheetView>
  </sheetViews>
  <sheetFormatPr defaultColWidth="8.42578125" defaultRowHeight="15" x14ac:dyDescent="0.25"/>
  <cols>
    <col min="2" max="2" width="12.42578125" customWidth="1"/>
    <col min="3" max="3" width="11.7109375" customWidth="1"/>
    <col min="4" max="4" width="45.7109375" customWidth="1"/>
    <col min="6" max="6" width="17" customWidth="1"/>
    <col min="7" max="7" width="19.7109375" customWidth="1"/>
    <col min="8" max="8" width="14.42578125" customWidth="1"/>
  </cols>
  <sheetData>
    <row r="5" spans="2:8" ht="33.75" x14ac:dyDescent="0.25">
      <c r="B5" s="21" t="s">
        <v>103</v>
      </c>
      <c r="C5" s="21" t="s">
        <v>75</v>
      </c>
      <c r="D5" s="22" t="s">
        <v>104</v>
      </c>
      <c r="E5" s="21" t="s">
        <v>23</v>
      </c>
      <c r="F5" s="23" t="s">
        <v>77</v>
      </c>
      <c r="G5" s="24" t="s">
        <v>78</v>
      </c>
      <c r="H5" s="25" t="s">
        <v>4</v>
      </c>
    </row>
    <row r="6" spans="2:8" ht="22.5" x14ac:dyDescent="0.25">
      <c r="B6" s="26" t="s">
        <v>79</v>
      </c>
      <c r="C6" s="27">
        <v>88282</v>
      </c>
      <c r="D6" s="28" t="s">
        <v>80</v>
      </c>
      <c r="E6" s="27" t="s">
        <v>23</v>
      </c>
      <c r="F6" s="29">
        <v>1</v>
      </c>
      <c r="G6" s="30">
        <v>20.420000000000002</v>
      </c>
      <c r="H6" s="31">
        <f>ROUND(F6*G6,2)</f>
        <v>20.420000000000002</v>
      </c>
    </row>
    <row r="7" spans="2:8" x14ac:dyDescent="0.25">
      <c r="B7" s="26" t="s">
        <v>79</v>
      </c>
      <c r="C7" s="27">
        <v>88316</v>
      </c>
      <c r="D7" s="28" t="s">
        <v>81</v>
      </c>
      <c r="E7" s="27" t="s">
        <v>23</v>
      </c>
      <c r="F7" s="29">
        <v>1</v>
      </c>
      <c r="G7" s="30">
        <v>17.43</v>
      </c>
      <c r="H7" s="31">
        <f>ROUND(F7*G7,2)</f>
        <v>17.43</v>
      </c>
    </row>
    <row r="8" spans="2:8" ht="33.75" x14ac:dyDescent="0.25">
      <c r="B8" s="26" t="s">
        <v>79</v>
      </c>
      <c r="C8" s="32">
        <v>88263</v>
      </c>
      <c r="D8" s="28" t="s">
        <v>105</v>
      </c>
      <c r="E8" s="27" t="s">
        <v>23</v>
      </c>
      <c r="F8" s="29">
        <v>1</v>
      </c>
      <c r="G8" s="30">
        <v>19.579999999999998</v>
      </c>
      <c r="H8" s="31">
        <f>ROUND(F8*G8,2)</f>
        <v>19.579999999999998</v>
      </c>
    </row>
    <row r="9" spans="2:8" ht="33.75" x14ac:dyDescent="0.25">
      <c r="B9" s="26" t="s">
        <v>79</v>
      </c>
      <c r="C9" s="32">
        <v>95620</v>
      </c>
      <c r="D9" s="28" t="s">
        <v>106</v>
      </c>
      <c r="E9" s="27" t="s">
        <v>92</v>
      </c>
      <c r="F9" s="29">
        <v>1</v>
      </c>
      <c r="G9" s="47">
        <v>23.43</v>
      </c>
      <c r="H9" s="31">
        <f>ROUND(F9*G9,2)</f>
        <v>23.43</v>
      </c>
    </row>
    <row r="10" spans="2:8" x14ac:dyDescent="0.25">
      <c r="B10" s="48"/>
      <c r="C10" s="9"/>
      <c r="D10" s="28"/>
      <c r="E10" s="206" t="s">
        <v>93</v>
      </c>
      <c r="F10" s="206"/>
      <c r="G10" s="206"/>
      <c r="H10" s="37">
        <f>ROUND((SUM(H6:H9)),2)</f>
        <v>80.86</v>
      </c>
    </row>
    <row r="11" spans="2:8" x14ac:dyDescent="0.25">
      <c r="B11" s="49"/>
      <c r="C11" s="50"/>
      <c r="D11" s="51"/>
      <c r="E11" s="206" t="str">
        <f>"BDI ( " &amp;TEXT('[1]CPU-Instalação'!$H$8,"0,00") &amp;" ) %:"</f>
        <v>BDI ( 23,75 ) %:</v>
      </c>
      <c r="F11" s="206"/>
      <c r="G11" s="206"/>
      <c r="H11" s="39">
        <f>ROUND(H10*('[1]CPU-Instalação'!$H$8/100),2)</f>
        <v>19.2</v>
      </c>
    </row>
    <row r="12" spans="2:8" x14ac:dyDescent="0.25">
      <c r="B12" s="52"/>
      <c r="C12" s="53"/>
      <c r="D12" s="54"/>
      <c r="E12" s="207" t="s">
        <v>94</v>
      </c>
      <c r="F12" s="207"/>
      <c r="G12" s="207"/>
      <c r="H12" s="42">
        <f>ROUND(SUM(H10:H11),2)</f>
        <v>100.06</v>
      </c>
    </row>
  </sheetData>
  <mergeCells count="3">
    <mergeCell ref="E10:G10"/>
    <mergeCell ref="E11:G11"/>
    <mergeCell ref="E12:G12"/>
  </mergeCells>
  <pageMargins left="0.51180555555555496" right="0.51180555555555496" top="0.78749999999999998" bottom="0.78749999999999998" header="0.51180555555555496" footer="0.51180555555555496"/>
  <pageSetup paperSize="9" scale="60" firstPageNumber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4:H15"/>
  <sheetViews>
    <sheetView zoomScaleNormal="100" workbookViewId="0">
      <selection activeCell="B4" sqref="B4"/>
    </sheetView>
  </sheetViews>
  <sheetFormatPr defaultColWidth="8.42578125" defaultRowHeight="15" x14ac:dyDescent="0.25"/>
  <cols>
    <col min="2" max="3" width="12.42578125" customWidth="1"/>
    <col min="4" max="4" width="86.42578125" customWidth="1"/>
    <col min="6" max="6" width="17" customWidth="1"/>
    <col min="7" max="7" width="19.7109375" customWidth="1"/>
    <col min="8" max="8" width="14.42578125" customWidth="1"/>
  </cols>
  <sheetData>
    <row r="4" spans="2:8" ht="59.25" customHeight="1" x14ac:dyDescent="0.25">
      <c r="B4" s="21" t="s">
        <v>107</v>
      </c>
      <c r="C4" s="21" t="s">
        <v>75</v>
      </c>
      <c r="D4" s="55" t="s">
        <v>108</v>
      </c>
      <c r="E4" s="21" t="s">
        <v>23</v>
      </c>
      <c r="F4" s="23" t="s">
        <v>77</v>
      </c>
      <c r="G4" s="24" t="s">
        <v>78</v>
      </c>
      <c r="H4" s="25" t="s">
        <v>4</v>
      </c>
    </row>
    <row r="5" spans="2:8" ht="51" customHeight="1" x14ac:dyDescent="0.25">
      <c r="B5" s="26" t="s">
        <v>79</v>
      </c>
      <c r="C5" s="27">
        <v>88282</v>
      </c>
      <c r="D5" s="28" t="s">
        <v>80</v>
      </c>
      <c r="E5" s="27" t="s">
        <v>23</v>
      </c>
      <c r="F5" s="29">
        <v>1.5</v>
      </c>
      <c r="G5" s="30">
        <v>20.420000000000002</v>
      </c>
      <c r="H5" s="31">
        <f t="shared" ref="H5:H11" si="0">ROUND(F5*G5,2)</f>
        <v>30.63</v>
      </c>
    </row>
    <row r="6" spans="2:8" ht="35.25" customHeight="1" x14ac:dyDescent="0.25">
      <c r="B6" s="26" t="s">
        <v>79</v>
      </c>
      <c r="C6" s="27">
        <v>88316</v>
      </c>
      <c r="D6" s="28" t="s">
        <v>81</v>
      </c>
      <c r="E6" s="27" t="s">
        <v>23</v>
      </c>
      <c r="F6" s="29">
        <v>1.5</v>
      </c>
      <c r="G6" s="30">
        <v>17.43</v>
      </c>
      <c r="H6" s="31">
        <f t="shared" si="0"/>
        <v>26.15</v>
      </c>
    </row>
    <row r="7" spans="2:8" ht="35.25" customHeight="1" x14ac:dyDescent="0.25">
      <c r="B7" s="26" t="s">
        <v>79</v>
      </c>
      <c r="C7" s="27">
        <v>88316</v>
      </c>
      <c r="D7" s="28" t="s">
        <v>81</v>
      </c>
      <c r="E7" s="27" t="s">
        <v>23</v>
      </c>
      <c r="F7" s="29">
        <v>1.5</v>
      </c>
      <c r="G7" s="30">
        <v>17.43</v>
      </c>
      <c r="H7" s="31">
        <f t="shared" si="0"/>
        <v>26.15</v>
      </c>
    </row>
    <row r="8" spans="2:8" ht="40.5" customHeight="1" x14ac:dyDescent="0.25">
      <c r="B8" s="26" t="s">
        <v>79</v>
      </c>
      <c r="C8" s="32">
        <v>52392</v>
      </c>
      <c r="D8" s="28" t="s">
        <v>105</v>
      </c>
      <c r="E8" s="27" t="s">
        <v>23</v>
      </c>
      <c r="F8" s="29">
        <v>1.5</v>
      </c>
      <c r="G8" s="30">
        <v>19.579999999999998</v>
      </c>
      <c r="H8" s="31">
        <f t="shared" si="0"/>
        <v>29.37</v>
      </c>
    </row>
    <row r="9" spans="2:8" ht="40.5" customHeight="1" x14ac:dyDescent="0.25">
      <c r="B9" s="26" t="s">
        <v>79</v>
      </c>
      <c r="C9" s="32">
        <v>95620</v>
      </c>
      <c r="D9" s="28" t="s">
        <v>106</v>
      </c>
      <c r="E9" s="27" t="s">
        <v>92</v>
      </c>
      <c r="F9" s="29">
        <v>1.5</v>
      </c>
      <c r="G9" s="47">
        <v>23.43</v>
      </c>
      <c r="H9" s="31">
        <f t="shared" si="0"/>
        <v>35.15</v>
      </c>
    </row>
    <row r="10" spans="2:8" ht="40.5" customHeight="1" x14ac:dyDescent="0.25">
      <c r="B10" s="26" t="s">
        <v>82</v>
      </c>
      <c r="C10" s="32" t="s">
        <v>83</v>
      </c>
      <c r="D10" s="28" t="s">
        <v>84</v>
      </c>
      <c r="E10" s="27" t="s">
        <v>85</v>
      </c>
      <c r="F10" s="29">
        <v>1</v>
      </c>
      <c r="G10" s="33">
        <v>7.63</v>
      </c>
      <c r="H10" s="31">
        <f t="shared" si="0"/>
        <v>7.63</v>
      </c>
    </row>
    <row r="11" spans="2:8" ht="40.5" customHeight="1" x14ac:dyDescent="0.25">
      <c r="B11" s="26" t="s">
        <v>82</v>
      </c>
      <c r="C11" s="27">
        <v>4227</v>
      </c>
      <c r="D11" s="28" t="s">
        <v>86</v>
      </c>
      <c r="E11" s="27" t="s">
        <v>85</v>
      </c>
      <c r="F11" s="29">
        <v>5.0000000000000001E-3</v>
      </c>
      <c r="G11" s="30">
        <v>29.2</v>
      </c>
      <c r="H11" s="31">
        <f t="shared" si="0"/>
        <v>0.15</v>
      </c>
    </row>
    <row r="12" spans="2:8" ht="40.5" customHeight="1" x14ac:dyDescent="0.25">
      <c r="B12" s="26" t="s">
        <v>82</v>
      </c>
      <c r="C12" s="27">
        <v>4229</v>
      </c>
      <c r="D12" s="28" t="s">
        <v>89</v>
      </c>
      <c r="E12" s="34" t="s">
        <v>90</v>
      </c>
      <c r="F12" s="35">
        <v>7.0000000000000007E-2</v>
      </c>
      <c r="G12" s="30">
        <v>42.87</v>
      </c>
      <c r="H12" s="31">
        <f>G12*F12</f>
        <v>3.0009000000000001</v>
      </c>
    </row>
    <row r="13" spans="2:8" x14ac:dyDescent="0.25">
      <c r="B13" s="48"/>
      <c r="C13" s="9"/>
      <c r="D13" s="28"/>
      <c r="E13" s="206" t="s">
        <v>93</v>
      </c>
      <c r="F13" s="206"/>
      <c r="G13" s="206"/>
      <c r="H13" s="37">
        <f>ROUND((SUM(H5:H12)),2)</f>
        <v>158.22999999999999</v>
      </c>
    </row>
    <row r="14" spans="2:8" x14ac:dyDescent="0.25">
      <c r="B14" s="49"/>
      <c r="C14" s="50"/>
      <c r="D14" s="51"/>
      <c r="E14" s="206" t="str">
        <f>"BDI ( " &amp;TEXT('[1]CPU-Instalação'!$H$8,"0,00") &amp;" ) %:"</f>
        <v>BDI ( 23,75 ) %:</v>
      </c>
      <c r="F14" s="206"/>
      <c r="G14" s="206"/>
      <c r="H14" s="39">
        <f>H13*23.75%</f>
        <v>37.579624999999993</v>
      </c>
    </row>
    <row r="15" spans="2:8" x14ac:dyDescent="0.25">
      <c r="B15" s="52"/>
      <c r="C15" s="53"/>
      <c r="D15" s="54"/>
      <c r="E15" s="207" t="s">
        <v>94</v>
      </c>
      <c r="F15" s="207"/>
      <c r="G15" s="207"/>
      <c r="H15" s="42">
        <f>ROUND(SUM(H13:H14),2)</f>
        <v>195.81</v>
      </c>
    </row>
  </sheetData>
  <mergeCells count="3">
    <mergeCell ref="E13:G13"/>
    <mergeCell ref="E14:G14"/>
    <mergeCell ref="E15:G15"/>
  </mergeCells>
  <pageMargins left="0.51180555555555496" right="0.51180555555555496" top="0.78749999999999998" bottom="0.78749999999999998" header="0.51180555555555496" footer="0.51180555555555496"/>
  <pageSetup paperSize="9" scale="45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18</vt:i4>
      </vt:variant>
    </vt:vector>
  </HeadingPairs>
  <TitlesOfParts>
    <vt:vector size="18" baseType="lpstr">
      <vt:lpstr>Planilha Resumo</vt:lpstr>
      <vt:lpstr>Resumo dos Serviços</vt:lpstr>
      <vt:lpstr>Detalhamento Santa Rosa do PI</vt:lpstr>
      <vt:lpstr>Detalhamento Colonia  Gurgueia</vt:lpstr>
      <vt:lpstr>Mobilização de Equipe</vt:lpstr>
      <vt:lpstr>Coordenação</vt:lpstr>
      <vt:lpstr>Emissão de ART</vt:lpstr>
      <vt:lpstr>Tentativa de Pescaria</vt:lpstr>
      <vt:lpstr>Retirada de Bomba Submersa</vt:lpstr>
      <vt:lpstr>Teste Prod. e Bomb.</vt:lpstr>
      <vt:lpstr>Lacrar Poço</vt:lpstr>
      <vt:lpstr>Proteção Sanitária</vt:lpstr>
      <vt:lpstr>Aumento de Revestimento</vt:lpstr>
      <vt:lpstr>Analise de Água</vt:lpstr>
      <vt:lpstr>Limp. Sanitária 01</vt:lpstr>
      <vt:lpstr>Limp. Sanitária 02</vt:lpstr>
      <vt:lpstr>BDI</vt:lpstr>
      <vt:lpstr>Encargos Sociais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Leonel Barros Galvão</dc:creator>
  <dc:description/>
  <cp:lastModifiedBy>Leonel Barros Galvão</cp:lastModifiedBy>
  <cp:revision>3</cp:revision>
  <cp:lastPrinted>2022-10-21T15:05:59Z</cp:lastPrinted>
  <dcterms:created xsi:type="dcterms:W3CDTF">2022-03-08T13:51:55Z</dcterms:created>
  <dcterms:modified xsi:type="dcterms:W3CDTF">2022-11-17T20:28:35Z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