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Y:\6ª GRD-UEP\2022\10 - SRP PAVIMENTAÇÕES\PROCESSO SRP PAVIMENTAÇÕES 2022\04. TR - CONCLUIR\ANEXO 4 - ORÇAMENTO DE REFERÊNCIA E CRONOGRAMA - OK\LOTE 01 - CAPA CBUQ\"/>
    </mc:Choice>
  </mc:AlternateContent>
  <xr:revisionPtr revIDLastSave="0" documentId="13_ncr:1_{72A5C44D-AE8A-4504-AD67-6003853CD5BB}" xr6:coauthVersionLast="47" xr6:coauthVersionMax="47" xr10:uidLastSave="{00000000-0000-0000-0000-000000000000}"/>
  <bookViews>
    <workbookView xWindow="-120" yWindow="-120" windowWidth="24240" windowHeight="13140" firstSheet="1" xr2:uid="{A0E9B10B-9361-4960-B63F-CA77F704FAEF}"/>
  </bookViews>
  <sheets>
    <sheet name="RESUMO" sheetId="13" r:id="rId1"/>
    <sheet name="CAPA EM CBUQ" sheetId="6" r:id="rId2"/>
    <sheet name=" MC" sheetId="5" r:id="rId3"/>
    <sheet name="COMP." sheetId="8" r:id="rId4"/>
    <sheet name="CRONOGRAMA" sheetId="7" r:id="rId5"/>
    <sheet name="MOB E DESM" sheetId="4" r:id="rId6"/>
    <sheet name="MAT BETUMINSO" sheetId="3" r:id="rId7"/>
    <sheet name="Dist. Mat Betuminoso" sheetId="12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\A" localSheetId="0">[1]SERVIÇO!#REF!</definedName>
    <definedName name="\A">[1]SERVIÇO!#REF!</definedName>
    <definedName name="\B" localSheetId="0">[1]SERVIÇO!#REF!</definedName>
    <definedName name="\B">[1]SERVIÇO!#REF!</definedName>
    <definedName name="\C" localSheetId="0">[1]SERVIÇO!#REF!</definedName>
    <definedName name="\C">[1]SERVIÇO!#REF!</definedName>
    <definedName name="\I" localSheetId="0">[1]SERVIÇO!#REF!</definedName>
    <definedName name="\I">[1]SERVIÇO!#REF!</definedName>
    <definedName name="\J" localSheetId="0">[1]SERVIÇO!#REF!</definedName>
    <definedName name="\J">[1]SERVIÇO!#REF!</definedName>
    <definedName name="\O">[1]SERVIÇO!#REF!</definedName>
    <definedName name="\P">[1]SERVIÇO!#REF!</definedName>
    <definedName name="_01_09_96">#REF!</definedName>
    <definedName name="_ACR10">[1]SERVIÇO!#REF!</definedName>
    <definedName name="_ACR15">[1]SERVIÇO!#REF!</definedName>
    <definedName name="_acr20">[1]SERVIÇO!#REF!</definedName>
    <definedName name="_acr5">[1]SERVIÇO!#REF!</definedName>
    <definedName name="_ARQ1">[1]SERVIÇO!#REF!</definedName>
    <definedName name="_xlnm._FilterDatabase" localSheetId="3" hidden="1">'COMP.'!$A$5:$J$1148</definedName>
    <definedName name="_xlnm._FilterDatabase" localSheetId="4" hidden="1">CRONOGRAMA!#REF!</definedName>
    <definedName name="_xlnm._FilterDatabase" localSheetId="7" hidden="1">'Dist. Mat Betuminoso'!$E$9:$F$9</definedName>
    <definedName name="_Order1" hidden="1">255</definedName>
    <definedName name="_PL1">#REF!</definedName>
    <definedName name="_QT100">[1]SERVIÇO!#REF!</definedName>
    <definedName name="_QT2">[1]SERVIÇO!#REF!</definedName>
    <definedName name="_QT3">[1]SERVIÇO!#REF!</definedName>
    <definedName name="_QT4">[1]SERVIÇO!#REF!</definedName>
    <definedName name="_QT50">[1]SERVIÇO!#REF!</definedName>
    <definedName name="_QT75">[1]SERVIÇO!#REF!</definedName>
    <definedName name="_T">[1]SERVIÇO!#REF!</definedName>
    <definedName name="A">#REF!</definedName>
    <definedName name="AA" localSheetId="0">RESUMO!AA</definedName>
    <definedName name="AA">RESUMO!AA</definedName>
    <definedName name="AAAAA" localSheetId="0">#REF!</definedName>
    <definedName name="AAAAA">#REF!</definedName>
    <definedName name="abebqt" localSheetId="0">[1]SERVIÇO!#REF!</definedName>
    <definedName name="abebqt">[1]SERVIÇO!#REF!</definedName>
    <definedName name="ACADUC" localSheetId="0">[1]SERVIÇO!#REF!</definedName>
    <definedName name="ACADUC">[1]SERVIÇO!#REF!</definedName>
    <definedName name="ACBEB" localSheetId="0">[1]SERVIÇO!#REF!</definedName>
    <definedName name="ACBEB">[1]SERVIÇO!#REF!</definedName>
    <definedName name="ACBOMB" localSheetId="0">[1]SERVIÇO!#REF!</definedName>
    <definedName name="ACBOMB">[1]SERVIÇO!#REF!</definedName>
    <definedName name="ACCHAF" localSheetId="0">[1]SERVIÇO!#REF!</definedName>
    <definedName name="ACCHAF">[1]SERVIÇO!#REF!</definedName>
    <definedName name="ACDER">[1]SERVIÇO!#REF!</definedName>
    <definedName name="ACDIV">[1]SERVIÇO!#REF!</definedName>
    <definedName name="ACEQP">[1]SERVIÇO!#REF!</definedName>
    <definedName name="ACHAFQT">[1]SERVIÇO!#REF!</definedName>
    <definedName name="ACIDO">#REF!</definedName>
    <definedName name="ACMUR">[1]SERVIÇO!#REF!</definedName>
    <definedName name="AÇO">#REF!</definedName>
    <definedName name="AÇO_CA_50_3_16">#REF!</definedName>
    <definedName name="ACONT2">[1]SERVIÇO!#REF!</definedName>
    <definedName name="ACPIPA">[1]SERVIÇO!#REF!</definedName>
    <definedName name="ACTRANSP">[1]SERVIÇO!#REF!</definedName>
    <definedName name="ADESIVO_PVC">#REF!</definedName>
    <definedName name="ADUCQT">[1]SERVIÇO!#REF!</definedName>
    <definedName name="AGUA_10LT">#REF!</definedName>
    <definedName name="AGUARRAZ">#REF!</definedName>
    <definedName name="AITEM">[1]SERVIÇO!#REF!</definedName>
    <definedName name="AJUDANTE">#REF!</definedName>
    <definedName name="ALIZAR_MAD_LEI">#REF!</definedName>
    <definedName name="ALTA">'[2]PRO-08'!#REF!</definedName>
    <definedName name="ALTADUC">[1]SERVIÇO!#REF!</definedName>
    <definedName name="ALTBOMB">[1]SERVIÇO!#REF!</definedName>
    <definedName name="ALTCAP">[1]SERVIÇO!#REF!</definedName>
    <definedName name="ALTDER">[1]SERVIÇO!#REF!</definedName>
    <definedName name="ALTEQUIP">[1]SERVIÇO!#REF!</definedName>
    <definedName name="ALTIEQP">[1]SERVIÇO!#REF!</definedName>
    <definedName name="ALTMUR">[1]SERVIÇO!#REF!</definedName>
    <definedName name="ALTRES10">[1]SERVIÇO!#REF!</definedName>
    <definedName name="ALTRES15">[1]SERVIÇO!#REF!</definedName>
    <definedName name="ALTRES20">[1]SERVIÇO!#REF!</definedName>
    <definedName name="ALTTRANS">[1]SERVIÇO!#REF!</definedName>
    <definedName name="amarela">#REF!</definedName>
    <definedName name="AMONIA">#REF!</definedName>
    <definedName name="APRENDIZ" localSheetId="0">{"total","SUM(total)","YNNNN",FALSE}</definedName>
    <definedName name="APRENDIZ">{"total","SUM(total)","YNNNN",FALSE}</definedName>
    <definedName name="AQTEMP1">[1]SERVIÇO!#REF!</definedName>
    <definedName name="AQTEMP2">[1]SERVIÇO!#REF!</definedName>
    <definedName name="ARAME_RECOZIDO">[3]Insumos!$I$22</definedName>
    <definedName name="_xlnm.Print_Area" localSheetId="2">' MC'!$A$2:$D$107</definedName>
    <definedName name="_xlnm.Print_Area" localSheetId="1">'CAPA EM CBUQ'!$A$1:$I$38</definedName>
    <definedName name="_xlnm.Print_Area" localSheetId="3">'COMP.'!$A$1:$J$1148</definedName>
    <definedName name="_xlnm.Print_Area" localSheetId="4">CRONOGRAMA!$A$1:$O$21</definedName>
    <definedName name="_xlnm.Print_Area" localSheetId="7">'Dist. Mat Betuminoso'!$B$1:$I$79</definedName>
    <definedName name="_xlnm.Print_Area" localSheetId="6">'MAT BETUMINSO'!$A$1:$G$35</definedName>
    <definedName name="_xlnm.Print_Area" localSheetId="5">'MOB E DESM'!$A$1:$N$34</definedName>
    <definedName name="_xlnm.Print_Area" localSheetId="0">RESUMO!$A$1:$G$14</definedName>
    <definedName name="Área_impressão_IM" localSheetId="0">#REF!</definedName>
    <definedName name="Área_impressão_IM">#REF!</definedName>
    <definedName name="AREIA" localSheetId="0">#REF!</definedName>
    <definedName name="AREIA">#REF!</definedName>
    <definedName name="ARMAÇÃO_CONCRETO" localSheetId="0">#REF!</definedName>
    <definedName name="ARMAÇÃO_CONCRETO">#REF!</definedName>
    <definedName name="ARMADOR">#REF!</definedName>
    <definedName name="ARMARIO_90X60X17_CM">#REF!</definedName>
    <definedName name="ARQ">[1]SERVIÇO!#REF!</definedName>
    <definedName name="ARQERR">[1]SERVIÇO!#REF!</definedName>
    <definedName name="ARQMARC">[1]SERVIÇO!#REF!</definedName>
    <definedName name="ARQPLAN">[1]SERVIÇO!#REF!</definedName>
    <definedName name="ARQT">[1]SERVIÇO!#REF!</definedName>
    <definedName name="ARQTEMP">[1]SERVIÇO!#REF!</definedName>
    <definedName name="ARQTXT">[1]SERVIÇO!#REF!</definedName>
    <definedName name="ARTEMP">[1]SERVIÇO!#REF!</definedName>
    <definedName name="ass">[1]SERVIÇO!#REF!</definedName>
    <definedName name="ASSENTO_PLASTICO">#REF!</definedName>
    <definedName name="ATERRO_ARENOSO">#REF!</definedName>
    <definedName name="AUGUSTO" localSheetId="0">{"total","SUM(total)","YNNNN",FALSE}</definedName>
    <definedName name="AUGUSTO">{"total","SUM(total)","YNNNN",FALSE}</definedName>
    <definedName name="azul">#REF!</definedName>
    <definedName name="AZULEGISTA">#REF!</definedName>
    <definedName name="AZULEJO_15X15">#REF!</definedName>
    <definedName name="AZULSINAL">#REF!</definedName>
    <definedName name="_xlnm.Database">#REF!</definedName>
    <definedName name="BARRO">[3]Insumos!$I$9</definedName>
    <definedName name="BDI">#REF!</definedName>
    <definedName name="bebqt">[1]SERVIÇO!#REF!</definedName>
    <definedName name="BG">#REF!</definedName>
    <definedName name="BGU">#REF!</definedName>
    <definedName name="BLOCO.CONC.CELULAR.12">#REF!</definedName>
    <definedName name="BLOCO.CONCRETO.14X19X39">#REF!</definedName>
    <definedName name="BLOCO.CONCRETO.19X19X39">#REF!</definedName>
    <definedName name="BLOCO.CONCRETO.9X19X39">#REF!</definedName>
    <definedName name="BLOCO_VIDRO">#REF!</definedName>
    <definedName name="BRITA1">#REF!</definedName>
    <definedName name="CAIXILHO_MAD_LEI">#REF!</definedName>
    <definedName name="CAL">#REF!</definedName>
    <definedName name="CAMP">[1]SERVIÇO!#REF!</definedName>
    <definedName name="CBU">#REF!</definedName>
    <definedName name="CBUII">#REF!</definedName>
    <definedName name="CBUQB">#REF!</definedName>
    <definedName name="CBUQc">#REF!</definedName>
    <definedName name="CERAMICA_30X30_PEI_IV">#REF!</definedName>
    <definedName name="CERAMICA_30x30_PEI_V">#REF!</definedName>
    <definedName name="CHAFQT">[1]SERVIÇO!#REF!</definedName>
    <definedName name="CIMENTO">#REF!</definedName>
    <definedName name="CIMENTO_BRANCO">#REF!</definedName>
    <definedName name="CIMENTO_COLA">#REF!</definedName>
    <definedName name="CLIENTE">#REF!</definedName>
    <definedName name="COLSUB">[1]SERVIÇO!#REF!</definedName>
    <definedName name="COMPENSA.PLAST">#REF!</definedName>
    <definedName name="COMPENSADO_RES_10MM">#REF!</definedName>
    <definedName name="COMPENSADO_RES_12MM">#REF!</definedName>
    <definedName name="CONCRETO_18_MPA">#REF!</definedName>
    <definedName name="CONT1">[1]SERVIÇO!#REF!</definedName>
    <definedName name="CONT2">[1]SERVIÇO!#REF!</definedName>
    <definedName name="CONT3">[1]SERVIÇO!#REF!</definedName>
    <definedName name="CONTAIT">[1]SERVIÇO!#REF!</definedName>
    <definedName name="CONTREC">[1]SERVIÇO!#REF!</definedName>
    <definedName name="CONTRES">[1]SERVIÇO!#REF!</definedName>
    <definedName name="CRITERX">[1]SERVIÇO!#REF!</definedName>
    <definedName name="Cronograma" localSheetId="0">{"total","SUM(total)","YNNNN",FALSE}</definedName>
    <definedName name="Cronograma">{"total","SUM(total)","YNNNN",FALSE}</definedName>
    <definedName name="CRONOMOD" localSheetId="0">{"total","SUM(total)","YNNNN",FALSE}</definedName>
    <definedName name="CRONOMOD">{"total","SUM(total)","YNNNN",FALSE}</definedName>
    <definedName name="d">#REF!</definedName>
    <definedName name="DATA">#REF!</definedName>
    <definedName name="Data_Final">#REF!</definedName>
    <definedName name="Data_Início">#REF!</definedName>
    <definedName name="DECANEL">#REF!</definedName>
    <definedName name="DERIVQT">[1]SERVIÇO!#REF!</definedName>
    <definedName name="descnt">#REF!</definedName>
    <definedName name="descont">#REF!</definedName>
    <definedName name="DESFORMA">#REF!</definedName>
    <definedName name="DGA">'[2]PRO-08'!#REF!</definedName>
    <definedName name="DIFQT">[1]SERVIÇO!#REF!</definedName>
    <definedName name="DJ">#REF!</definedName>
    <definedName name="DNIT_aprovação">[4]Auxiliar!$K$2:$K$5</definedName>
    <definedName name="dsadf" localSheetId="0">{"total","SUM(total)","YNNNN",FALSE}</definedName>
    <definedName name="dsadf">{"total","SUM(total)","YNNNN",FALSE}</definedName>
    <definedName name="ECJ">#REF!</definedName>
    <definedName name="EJ">#REF!</definedName>
    <definedName name="ELEMENTO_VAZADO">#REF!</definedName>
    <definedName name="ELETRICISTA">#REF!</definedName>
    <definedName name="EMPRESA">#REF!</definedName>
    <definedName name="ENCANADOR">#REF!</definedName>
    <definedName name="ENGATE_STORZ">#REF!</definedName>
    <definedName name="EQPOTENC">[1]SERVIÇO!#REF!</definedName>
    <definedName name="ESCORA">[3]Insumos!$I$72</definedName>
    <definedName name="EXA">'[2]PRO-08'!#REF!</definedName>
    <definedName name="Excel_BuiltIn_Print_Titles_2_1">#REF!</definedName>
    <definedName name="Excel_BuiltIn_Print_Titles_2_1_1" localSheetId="0">#REF!,#REF!</definedName>
    <definedName name="Excel_BuiltIn_Print_Titles_2_1_1">#REF!,#REF!</definedName>
    <definedName name="Excel_BuiltIn_Print_Titles_3_1_1">#REF!,#REF!</definedName>
    <definedName name="Excel_BuiltIn_Print_Titles_3_1_1_1">#REF!,#REF!</definedName>
    <definedName name="Excel_BuiltIn_Print_Titles_3_1_1_1_1">#REF!,#REF!</definedName>
    <definedName name="Excel_BuiltIn_Print_Titles_3_1_1_1_1_1">#REF!</definedName>
    <definedName name="Extenso" localSheetId="0">RESUMO!Extenso</definedName>
    <definedName name="Extenso">RESUMO!Extenso</definedName>
    <definedName name="fc1a" localSheetId="0">'[2]PRO-08'!#REF!</definedName>
    <definedName name="fc1a">'[2]PRO-08'!#REF!</definedName>
    <definedName name="FC2A" localSheetId="0">'[2]PRO-08'!#REF!</definedName>
    <definedName name="FC2A">'[2]PRO-08'!#REF!</definedName>
    <definedName name="FC3A" localSheetId="0">'[2]PRO-08'!#REF!</definedName>
    <definedName name="FC3A">'[2]PRO-08'!#REF!</definedName>
    <definedName name="FCRITER">[1]SERVIÇO!#REF!</definedName>
    <definedName name="fda" localSheetId="0">{"total","SUM(total)","YNNNN",FALSE}</definedName>
    <definedName name="fda">{"total","SUM(total)","YNNNN",FALSE}</definedName>
    <definedName name="FGV_alteração">[4]Auxiliar!$J$2:$J$4</definedName>
    <definedName name="FORMA_MAD_BRANCA" localSheetId="0">#REF!</definedName>
    <definedName name="FORMA_MAD_BRANCA">#REF!</definedName>
    <definedName name="Formatação_Amarelo_comCusto">INDIRECT("'Analítico CCUs'!$W$2:$X$"&amp;'[5]Analítico CCUs'!$E$2)</definedName>
    <definedName name="Formatação_Azul">INDIRECT("'Analítico CCUs'!$P$2:$X$"&amp;'[5]Analítico CCUs'!$E$2)</definedName>
    <definedName name="Formatação_Vermelho">INDIRECT("'Analítico CCUs'!$F$2:$N$"&amp;'[5]Analítico CCUs'!$E$2)</definedName>
    <definedName name="Fromatação_Amarelo_semCusto">INDIRECT("'Analítico CCUs'!$P$2:$V$"&amp;'[5]Analítico CCUs'!$E$2)</definedName>
    <definedName name="GAS_CARBONICO_6KG">#REF!</definedName>
    <definedName name="GESSO">#REF!</definedName>
    <definedName name="GRANITO_AMENDOA">#REF!</definedName>
    <definedName name="GRANITO_CINZA_CORUMBA">#REF!</definedName>
    <definedName name="GUSTAVO" localSheetId="0">{"total","SUM(total)","YNNNN",FALSE}</definedName>
    <definedName name="GUSTAVO">{"total","SUM(total)","YNNNN",FALSE}</definedName>
    <definedName name="hi">#REF!</definedName>
    <definedName name="HOJE">[1]SERVIÇO!#REF!</definedName>
    <definedName name="I">#REF!</definedName>
    <definedName name="IGOL_2">#REF!</definedName>
    <definedName name="IGOLFLEX">#REF!</definedName>
    <definedName name="IM">#REF!</definedName>
    <definedName name="IMPERMEABILIZANTE_SIKA">#REF!</definedName>
    <definedName name="IMPF">[1]SERVIÇO!#REF!</definedName>
    <definedName name="IMPI">[1]SERVIÇO!#REF!</definedName>
    <definedName name="Insumos">'[6]RELAÇÃO - COMPOSIÇÕES E INSUMOS'!$A$7:$D$337</definedName>
    <definedName name="ITEMCONT">[1]SERVIÇO!#REF!</definedName>
    <definedName name="ITEMDER">[1]SERVIÇO!#REF!</definedName>
    <definedName name="ITEMEQP">[1]SERVIÇO!#REF!</definedName>
    <definedName name="ITEMMUR">[1]SERVIÇO!#REF!</definedName>
    <definedName name="ITEMR15">[1]SERVIÇO!#REF!</definedName>
    <definedName name="ITEMR20">[1]SERVIÇO!#REF!</definedName>
    <definedName name="ITEMTRANS">[1]SERVIÇO!#REF!</definedName>
    <definedName name="ITENS">[1]SERVIÇO!#REF!</definedName>
    <definedName name="ITENS0">[1]SERVIÇO!#REF!</definedName>
    <definedName name="ITENS1">[1]SERVIÇO!#REF!</definedName>
    <definedName name="ITENSP">[1]SERVIÇO!#REF!</definedName>
    <definedName name="ITENSPMED">[1]SERVIÇO!#REF!</definedName>
    <definedName name="JUNTA_PLÁSTICA">#REF!</definedName>
    <definedName name="KORODUR">#REF!</definedName>
    <definedName name="LAMBRI_IPÊ">#REF!</definedName>
    <definedName name="LANÇAMENTO_CONCRETO">#REF!</definedName>
    <definedName name="LIGAÇÃO_FLEXIVEL">#REF!</definedName>
    <definedName name="LILASDRENA">#REF!</definedName>
    <definedName name="LIN">[1]SERVIÇO!#REF!</definedName>
    <definedName name="LIQUIDO_PREPARADOR">#REF!</definedName>
    <definedName name="LIQUIDO_SELADOR">[3]Insumos!$I$361</definedName>
    <definedName name="LISTSEL">[1]SERVIÇO!#REF!</definedName>
    <definedName name="LIXA_FERRO">#REF!</definedName>
    <definedName name="LIXA_MADEIRA">[3]Insumos!$I$374</definedName>
    <definedName name="LOCAB">[1]SERVIÇO!#REF!</definedName>
    <definedName name="LOCAL">[1]SERVIÇO!#REF!</definedName>
    <definedName name="LS">#REF!</definedName>
    <definedName name="MANGUEIRA_30_M">#REF!</definedName>
    <definedName name="MARCAX">[1]SERVIÇO!#REF!</definedName>
    <definedName name="MARCENEIRO">#REF!</definedName>
    <definedName name="MARMORE_BRANCO">#REF!</definedName>
    <definedName name="Mary" localSheetId="0">{"total","SUM(total)","YNNNN",FALSE}</definedName>
    <definedName name="Mary">{"total","SUM(total)","YNNNN",FALSE}</definedName>
    <definedName name="MASSA_OLEO">#REF!</definedName>
    <definedName name="MASSA_PVA">[3]Insumos!$I$363</definedName>
    <definedName name="Medição">#REF!</definedName>
    <definedName name="MENUBOM">[1]SERVIÇO!#REF!</definedName>
    <definedName name="MENUEQP">[1]SERVIÇO!#REF!</definedName>
    <definedName name="MENUFIM">[1]SERVIÇO!#REF!</definedName>
    <definedName name="MENUMED">[1]SERVIÇO!#REF!</definedName>
    <definedName name="MENUOBRA">[1]SERVIÇO!#REF!</definedName>
    <definedName name="MENUOUT">[1]SERVIÇO!#REF!</definedName>
    <definedName name="MENUOUTRO">[1]SERVIÇO!#REF!</definedName>
    <definedName name="menures">[1]SERVIÇO!#REF!</definedName>
    <definedName name="Mirin" localSheetId="0">{"total","SUM(total)","YNNNN",FALSE}</definedName>
    <definedName name="Mirin">{"total","SUM(total)","YNNNN",FALSE}</definedName>
    <definedName name="MOD" localSheetId="0">{"total","SUM(total)","YNNNN",FALSE}</definedName>
    <definedName name="MOD">{"total","SUM(total)","YNNNN",FALSE}</definedName>
    <definedName name="MODIFICAÇÃO" localSheetId="0">{"total","SUM(total)","YNNNN",FALSE}</definedName>
    <definedName name="MODIFICAÇÃO">{"total","SUM(total)","YNNNN",FALSE}</definedName>
    <definedName name="módulo1.Extenso" localSheetId="0">RESUMO!módulo1.Extenso</definedName>
    <definedName name="módulo1.Extenso">RESUMO!módulo1.Extenso</definedName>
    <definedName name="MUNICIPIO" localSheetId="0">[1]SERVIÇO!#REF!</definedName>
    <definedName name="MUNICIPIO">[1]SERVIÇO!#REF!</definedName>
    <definedName name="MURBOMB" localSheetId="0">[1]SERVIÇO!#REF!</definedName>
    <definedName name="MURBOMB">[1]SERVIÇO!#REF!</definedName>
    <definedName name="NDATA" localSheetId="0">[1]SERVIÇO!#REF!</definedName>
    <definedName name="NDATA">[1]SERVIÇO!#REF!</definedName>
    <definedName name="NTEI">'[2]PRO-08'!#REF!</definedName>
    <definedName name="NUCOPIAS">[1]SERVIÇO!#REF!</definedName>
    <definedName name="OBRA">[1]SERVIÇO!#REF!</definedName>
    <definedName name="OBRADUPL">[1]SERVIÇO!#REF!</definedName>
    <definedName name="OBRALOC">[1]SERVIÇO!#REF!</definedName>
    <definedName name="OBRASEL">[1]SERVIÇO!#REF!</definedName>
    <definedName name="OPA">'[2]PRO-08'!#REF!</definedName>
    <definedName name="PARAFUSO_PARA_LOUÇA">#REF!</definedName>
    <definedName name="PDER">[1]SERVIÇO!#REF!</definedName>
    <definedName name="PDIVERS">[1]SERVIÇO!#REF!</definedName>
    <definedName name="PEÇA_6_X_3_MAD_LEI">#REF!</definedName>
    <definedName name="PEDRA_PRETA">[3]Insumos!$I$12</definedName>
    <definedName name="PEDREIRO">#REF!</definedName>
    <definedName name="PEMD">[1]SERVIÇO!#REF!</definedName>
    <definedName name="PERNAMANCA">[3]Insumos!$I$71</definedName>
    <definedName name="PERNAMANCA_MAD_LEI">#REF!</definedName>
    <definedName name="pesquisa">#REF!</definedName>
    <definedName name="PIEQUIP">[1]SERVIÇO!#REF!</definedName>
    <definedName name="PINTOR">#REF!</definedName>
    <definedName name="PL">#REF!</definedName>
    <definedName name="PMUR">[1]SERVIÇO!#REF!</definedName>
    <definedName name="PO_QUIMICO_4KG">#REF!</definedName>
    <definedName name="PONTALETE">#REF!</definedName>
    <definedName name="prego">#REF!</definedName>
    <definedName name="PREGO_1_X_16">#REF!</definedName>
    <definedName name="PREGO_2_12_X_12">#REF!</definedName>
    <definedName name="PREGO_2_12X10">#REF!</definedName>
    <definedName name="PREGO_2X11">#REF!</definedName>
    <definedName name="PREGO_2X12">#REF!</definedName>
    <definedName name="PTGERAL">[1]SERVIÇO!#REF!</definedName>
    <definedName name="QQ_2" localSheetId="0">RESUMO!QQ_2</definedName>
    <definedName name="QQ_2">RESUMO!QQ_2</definedName>
    <definedName name="QTNULO" localSheetId="0">[1]SERVIÇO!#REF!</definedName>
    <definedName name="QTNULO">[1]SERVIÇO!#REF!</definedName>
    <definedName name="QTPADRAO" localSheetId="0">[1]SERVIÇO!#REF!</definedName>
    <definedName name="QTPADRAO">[1]SERVIÇO!#REF!</definedName>
    <definedName name="QTRES" localSheetId="0">[1]SERVIÇO!#REF!</definedName>
    <definedName name="QTRES">[1]SERVIÇO!#REF!</definedName>
    <definedName name="QUANT">[1]SERVIÇO!#REF!</definedName>
    <definedName name="QUANTP">[1]SERVIÇO!#REF!</definedName>
    <definedName name="RARQIMP">[1]SERVIÇO!#REF!</definedName>
    <definedName name="RBV">[7]Teor!$C$3:$C$7</definedName>
    <definedName name="RECADUC">[1]SERVIÇO!#REF!</definedName>
    <definedName name="REFERENTE">#REF!</definedName>
    <definedName name="REG">#REF!</definedName>
    <definedName name="REGUA_DUZIA">[3]Insumos!$I$61</definedName>
    <definedName name="REGULA">#REF!</definedName>
    <definedName name="REJUNTE">#REF!</definedName>
    <definedName name="RESUMO" localSheetId="0">RESUMO!RESUMO</definedName>
    <definedName name="RESUMO">RESUMO!RESUMO</definedName>
    <definedName name="ridbeb" localSheetId="0">[1]SERVIÇO!#REF!</definedName>
    <definedName name="ridbeb">[1]SERVIÇO!#REF!</definedName>
    <definedName name="RIDCHAF" localSheetId="0">[1]SERVIÇO!#REF!</definedName>
    <definedName name="RIDCHAF">[1]SERVIÇO!#REF!</definedName>
    <definedName name="ridres05" localSheetId="0">[1]SERVIÇO!#REF!</definedName>
    <definedName name="ridres05">[1]SERVIÇO!#REF!</definedName>
    <definedName name="RIDRES10">[1]SERVIÇO!#REF!</definedName>
    <definedName name="RIDRES15">[1]SERVIÇO!#REF!</definedName>
    <definedName name="RIPAO">[3]Insumos!$I$61</definedName>
    <definedName name="RIPÃO">#REF!</definedName>
    <definedName name="RIPÃO_COMUM">[3]Insumos!$I$61</definedName>
    <definedName name="RIPÃO_MAD_LEI">#REF!</definedName>
    <definedName name="RMA">'[2]PRO-08'!#REF!</definedName>
    <definedName name="RODAPE_CINZA_CORUMBA">#REF!</definedName>
    <definedName name="ROMANO">[1]SERVIÇO!#REF!</definedName>
    <definedName name="ROTCOMP">[1]SERVIÇO!#REF!</definedName>
    <definedName name="ROTIMP">[1]SERVIÇO!#REF!</definedName>
    <definedName name="ROTRES">[1]SERVIÇO!#REF!</definedName>
    <definedName name="RQTADUC">[1]SERVIÇO!#REF!</definedName>
    <definedName name="rqtbeb">[1]SERVIÇO!#REF!</definedName>
    <definedName name="RQTCHAF">[1]SERVIÇO!#REF!</definedName>
    <definedName name="RQTDERV">[1]SERVIÇO!#REF!</definedName>
    <definedName name="rres05">[1]SERVIÇO!#REF!</definedName>
    <definedName name="RRES10">[1]SERVIÇO!#REF!</definedName>
    <definedName name="RRES15">[1]SERVIÇO!#REF!</definedName>
    <definedName name="RRES20">[1]SERVIÇO!#REF!</definedName>
    <definedName name="RRR">[1]SERVIÇO!#REF!</definedName>
    <definedName name="RRTEMP">[1]SERVIÇO!#REF!</definedName>
    <definedName name="RS">#REF!</definedName>
    <definedName name="RSEQ">[1]SERVIÇO!#REF!</definedName>
    <definedName name="RSUBTOT">[1]SERVIÇO!#REF!</definedName>
    <definedName name="rtitbeb">[1]SERVIÇO!#REF!</definedName>
    <definedName name="RTITCHAF">[1]SERVIÇO!#REF!</definedName>
    <definedName name="rtubos">[1]SERVIÇO!#REF!</definedName>
    <definedName name="SARRAFO">#REF!</definedName>
    <definedName name="sbg">#REF!</definedName>
    <definedName name="SBTC">#REF!</definedName>
    <definedName name="SEIXO">#REF!</definedName>
    <definedName name="SemanaTerminando">[8]materiais!#REF!</definedName>
    <definedName name="SET">[9]Comp!$E$361:$E$428</definedName>
    <definedName name="SIFÃO_CROMADO" localSheetId="0">#REF!</definedName>
    <definedName name="SIFÃO_CROMADO">#REF!</definedName>
    <definedName name="SISTEM1">[1]SERVIÇO!#REF!</definedName>
    <definedName name="SISTEM2">[1]SERVIÇO!#REF!</definedName>
    <definedName name="SOLEIRA_CINZA_CORUMBA">#REF!</definedName>
    <definedName name="SOLU_LIMPADORA">#REF!</definedName>
    <definedName name="SSS">[1]SERVIÇO!#REF!</definedName>
    <definedName name="SSTEMP">[1]SERVIÇO!#REF!</definedName>
    <definedName name="SUBDER">[1]SERVIÇO!#REF!</definedName>
    <definedName name="SUBDIV">[1]SERVIÇO!#REF!</definedName>
    <definedName name="SUBEQP">[1]SERVIÇO!#REF!</definedName>
    <definedName name="SUBMUR">[1]SERVIÇO!#REF!</definedName>
    <definedName name="TABUA">#REF!</definedName>
    <definedName name="TABUA.METRO">#REF!</definedName>
    <definedName name="TABUA_DUZIA">[3]Insumos!$I$70</definedName>
    <definedName name="TÁBUA_MAD_FORTE">#REF!</definedName>
    <definedName name="TARUGO">#REF!</definedName>
    <definedName name="TELHA_FIBROCIMENTO_6MM">#REF!</definedName>
    <definedName name="TELHA_FRIBOCIMENTO_4MM">#REF!</definedName>
    <definedName name="TELHA_PLAN">#REF!</definedName>
    <definedName name="TELHACRYL">#REF!</definedName>
    <definedName name="Teor">[7]Teor!$A$3:$A$7</definedName>
    <definedName name="Terraplenagem" localSheetId="0">RESUMO!Terraplenagem</definedName>
    <definedName name="Terraplenagem">RESUMO!Terraplenagem</definedName>
    <definedName name="TIJOLO_10X20X20">[3]Insumos!$I$28</definedName>
    <definedName name="TIJOLO_6_FUROS">[3]Insumos!$I$28</definedName>
    <definedName name="TINTA_ACRILICA">#REF!</definedName>
    <definedName name="TINTA_ESMALTE">#REF!</definedName>
    <definedName name="TINTA_NOVACOR">#REF!</definedName>
    <definedName name="TINTA_OLEO">[3]Insumos!$I$366</definedName>
    <definedName name="TINTA_PVA">[3]Insumos!$I$365</definedName>
    <definedName name="titbeb">[1]SERVIÇO!#REF!</definedName>
    <definedName name="TITCHAF">[1]SERVIÇO!#REF!</definedName>
    <definedName name="_xlnm.Print_Titles" localSheetId="2">' MC'!$2:$4</definedName>
    <definedName name="_xlnm.Print_Titles" localSheetId="1">'CAPA EM CBUQ'!$1:$4</definedName>
    <definedName name="_xlnm.Print_Titles" localSheetId="3">'COMP.'!$1:$4</definedName>
    <definedName name="_xlnm.Print_Titles" localSheetId="7">'Dist. Mat Betuminoso'!$1:$9</definedName>
    <definedName name="TOTAL_ADMINISTRATIVO" localSheetId="0">#REF!</definedName>
    <definedName name="TOTAL_ADMINISTRATIVO">#REF!</definedName>
    <definedName name="TOTAL_AULA" localSheetId="0">#REF!</definedName>
    <definedName name="TOTAL_AULA">#REF!</definedName>
    <definedName name="TOTAL_EXTERNA" localSheetId="0">#REF!</definedName>
    <definedName name="TOTAL_EXTERNA">#REF!</definedName>
    <definedName name="TOTAL_QUADRA">#REF!</definedName>
    <definedName name="TOTAL_VESTIÁRIO">#REF!</definedName>
    <definedName name="TOTQTS">[1]SERVIÇO!#REF!</definedName>
    <definedName name="TPM">#REF!</definedName>
    <definedName name="TTT">[1]SERVIÇO!#REF!</definedName>
    <definedName name="TXTEQUIP">[1]SERVIÇO!#REF!</definedName>
    <definedName name="TXTMARCA">[1]SERVIÇO!#REF!</definedName>
    <definedName name="TXTMOD">[1]SERVIÇO!#REF!</definedName>
    <definedName name="TXTPOT">[1]SERVIÇO!#REF!</definedName>
    <definedName name="value_def_array" localSheetId="0">{"total","SUM(total)","YNNNN",FALSE}</definedName>
    <definedName name="value_def_array">{"total","SUM(total)","YNNNN",FALSE}</definedName>
    <definedName name="Vazios">[7]Teor!$B$3:$B$7</definedName>
    <definedName name="VEDA_ROSCA" localSheetId="0">#REF!</definedName>
    <definedName name="VEDA_ROSCA">#REF!</definedName>
    <definedName name="verde" localSheetId="0">#REF!</definedName>
    <definedName name="verde">#REF!</definedName>
    <definedName name="verdepav" localSheetId="0">#REF!</definedName>
    <definedName name="verdepav">#REF!</definedName>
    <definedName name="VERNIZ_POLIURETANO">#REF!</definedName>
    <definedName name="WEWRWR" localSheetId="0">RESUMO!WEWRWR</definedName>
    <definedName name="WEWRWR">RESUMO!WEWRWR</definedName>
    <definedName name="WITENS" localSheetId="0">[1]SERVIÇO!#REF!</definedName>
    <definedName name="WITENS">[1]SERVIÇO!#REF!</definedName>
    <definedName name="WNMLOCAL" localSheetId="0">[1]SERVIÇO!#REF!</definedName>
    <definedName name="WNMLOCAL">[1]SERVIÇO!#REF!</definedName>
    <definedName name="WNMMUN" localSheetId="0">[1]SERVIÇO!#REF!</definedName>
    <definedName name="WNMMUN">[1]SERVIÇO!#REF!</definedName>
    <definedName name="WNMSERV">[1]SERVIÇO!#REF!</definedName>
    <definedName name="x">[7]Equipamentos!#REF!</definedName>
    <definedName name="XALFA">[1]SERVIÇO!#REF!</definedName>
    <definedName name="XDATA">[1]SERVIÇO!#REF!</definedName>
    <definedName name="XITEM">[1]SERVIÇO!#REF!</definedName>
    <definedName name="XLOC">[1]SERVIÇO!#REF!</definedName>
    <definedName name="xnInforme_quantos_bebedouros____bebqt__if_bebqt__0__xlQt.bebedouros_invalida___ENTER_p_reinformar__xresp__branch_rqtderv">[1]SERVIÇO!#REF!</definedName>
    <definedName name="XNUCOPIAS">[1]SERVIÇO!#REF!</definedName>
    <definedName name="XRESP">[1]SERVIÇO!#REF!</definedName>
    <definedName name="XTITRES">[1]SERVIÇO!#REF!</definedName>
    <definedName name="XXX" localSheetId="0">RESUMO!XXX</definedName>
    <definedName name="XXX">RESUMO!XXX</definedName>
    <definedName name="ZARCAO" localSheetId="0">#REF!</definedName>
    <definedName name="ZARCAO">#REF!</definedName>
    <definedName name="ZECA" localSheetId="0">[1]SERVIÇO!#REF!</definedName>
    <definedName name="ZECA">[1]SERVIÇO!#REF!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" i="6" l="1"/>
  <c r="J52" i="8"/>
  <c r="J51" i="8"/>
  <c r="H12" i="6" s="1"/>
  <c r="F51" i="8"/>
  <c r="D20" i="5"/>
  <c r="U9" i="6"/>
  <c r="U10" i="6"/>
  <c r="O23" i="6" l="1"/>
  <c r="N23" i="6"/>
  <c r="C14" i="7" l="1"/>
  <c r="C12" i="7"/>
  <c r="B15" i="7"/>
  <c r="B13" i="7"/>
  <c r="B11" i="7"/>
  <c r="K8" i="6"/>
  <c r="K9" i="6"/>
  <c r="K10" i="6"/>
  <c r="K11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7" i="6"/>
  <c r="N35" i="6" l="1"/>
  <c r="D91" i="5"/>
  <c r="B88" i="5"/>
  <c r="B85" i="5"/>
  <c r="B82" i="5"/>
  <c r="B81" i="5"/>
  <c r="A81" i="5"/>
  <c r="H33" i="6"/>
  <c r="H32" i="6"/>
  <c r="H31" i="6"/>
  <c r="B77" i="5"/>
  <c r="B73" i="5"/>
  <c r="A2" i="5"/>
  <c r="B66" i="5"/>
  <c r="B59" i="5"/>
  <c r="B55" i="5"/>
  <c r="B51" i="5"/>
  <c r="H25" i="6"/>
  <c r="H24" i="6"/>
  <c r="I75" i="12"/>
  <c r="D38" i="5" s="1"/>
  <c r="L35" i="6" l="1"/>
  <c r="I35" i="6"/>
  <c r="Q23" i="7" l="1"/>
  <c r="B9" i="7"/>
  <c r="B7" i="7"/>
  <c r="B5" i="7"/>
  <c r="Q15" i="7"/>
  <c r="Q13" i="7"/>
  <c r="Q11" i="7"/>
  <c r="Q9" i="7"/>
  <c r="Q7" i="7"/>
  <c r="D94" i="5" l="1"/>
  <c r="D107" i="5"/>
  <c r="J4" i="5"/>
  <c r="K4" i="5" s="1"/>
  <c r="K3" i="5"/>
  <c r="H38" i="6"/>
  <c r="H29" i="6"/>
  <c r="H28" i="6"/>
  <c r="H26" i="6"/>
  <c r="H27" i="6"/>
  <c r="D23" i="6"/>
  <c r="D22" i="6"/>
  <c r="H23" i="6"/>
  <c r="D101" i="5"/>
  <c r="D25" i="5"/>
  <c r="G17" i="6"/>
  <c r="G16" i="6"/>
  <c r="D99" i="5"/>
  <c r="D14" i="5"/>
  <c r="D42" i="5"/>
  <c r="F14" i="3"/>
  <c r="F13" i="3"/>
  <c r="G13" i="3" s="1"/>
  <c r="F22" i="5" l="1"/>
  <c r="D29" i="5"/>
  <c r="D30" i="5"/>
  <c r="D49" i="5" s="1"/>
  <c r="J5" i="5"/>
  <c r="F29" i="5"/>
  <c r="G29" i="5" s="1"/>
  <c r="F30" i="5" s="1"/>
  <c r="F24" i="5"/>
  <c r="H37" i="6"/>
  <c r="H36" i="6"/>
  <c r="H35" i="6"/>
  <c r="H22" i="6"/>
  <c r="H21" i="6"/>
  <c r="H19" i="6"/>
  <c r="H18" i="6"/>
  <c r="H17" i="6"/>
  <c r="H16" i="6"/>
  <c r="H8" i="6"/>
  <c r="H7" i="6"/>
  <c r="H13" i="6"/>
  <c r="H11" i="6"/>
  <c r="H10" i="6"/>
  <c r="D31" i="5" l="1"/>
  <c r="F43" i="5"/>
  <c r="G43" i="5" s="1"/>
  <c r="D45" i="5"/>
  <c r="D53" i="5"/>
  <c r="D57" i="5" s="1"/>
  <c r="K5" i="5"/>
  <c r="J8" i="5"/>
  <c r="K8" i="5" s="1"/>
  <c r="F44" i="5"/>
  <c r="G44" i="5" s="1"/>
  <c r="D10" i="5"/>
  <c r="D18" i="5"/>
  <c r="Q29" i="4"/>
  <c r="H28" i="4"/>
  <c r="H30" i="4" s="1"/>
  <c r="E14" i="4"/>
  <c r="E13" i="4"/>
  <c r="E15" i="4" s="1"/>
  <c r="E12" i="4"/>
  <c r="F45" i="5" l="1"/>
  <c r="H45" i="5" s="1"/>
  <c r="H47" i="5" s="1"/>
  <c r="E32" i="4"/>
  <c r="E33" i="4"/>
  <c r="G14" i="3" l="1"/>
  <c r="L21" i="6" l="1"/>
  <c r="L23" i="6" s="1"/>
  <c r="M23" i="6" s="1"/>
  <c r="L12" i="6"/>
  <c r="M12" i="6" s="1"/>
  <c r="L13" i="6"/>
  <c r="M13" i="6" s="1"/>
  <c r="L10" i="6"/>
  <c r="M10" i="6" s="1"/>
  <c r="M14" i="6"/>
  <c r="L7" i="6"/>
  <c r="M7" i="6" s="1"/>
  <c r="M20" i="6"/>
  <c r="M34" i="6"/>
  <c r="D7" i="13"/>
  <c r="M15" i="6"/>
  <c r="M9" i="6"/>
  <c r="L8" i="6"/>
  <c r="M8" i="6" s="1"/>
  <c r="L11" i="6"/>
  <c r="M11" i="6" s="1"/>
  <c r="M33" i="6"/>
  <c r="M35" i="6"/>
  <c r="N2" i="5"/>
  <c r="M51" i="5" s="1"/>
  <c r="M81" i="5" l="1"/>
  <c r="M76" i="5"/>
  <c r="M17" i="5"/>
  <c r="M104" i="5"/>
  <c r="M65" i="5"/>
  <c r="M49" i="5"/>
  <c r="M64" i="5"/>
  <c r="M57" i="5"/>
  <c r="M38" i="5"/>
  <c r="M24" i="5"/>
  <c r="M53" i="5"/>
  <c r="M71" i="5"/>
  <c r="M59" i="5"/>
  <c r="M43" i="5"/>
  <c r="M99" i="5"/>
  <c r="M31" i="5"/>
  <c r="M88" i="5"/>
  <c r="M75" i="5"/>
  <c r="M10" i="5"/>
  <c r="M29" i="5"/>
  <c r="M62" i="5"/>
  <c r="M80" i="5"/>
  <c r="M48" i="5"/>
  <c r="M101" i="5"/>
  <c r="M16" i="5"/>
  <c r="M83" i="5"/>
  <c r="M44" i="5"/>
  <c r="M60" i="5"/>
  <c r="M28" i="5"/>
  <c r="M105" i="5"/>
  <c r="M69" i="5"/>
  <c r="M18" i="5"/>
  <c r="M12" i="5"/>
  <c r="M55" i="5"/>
  <c r="M30" i="5"/>
  <c r="M93" i="5"/>
  <c r="D6" i="5"/>
  <c r="M86" i="5"/>
  <c r="M102" i="5"/>
  <c r="M47" i="5"/>
  <c r="M21" i="6"/>
  <c r="M68" i="5"/>
  <c r="M19" i="5"/>
  <c r="M95" i="5"/>
  <c r="M92" i="5"/>
  <c r="M85" i="5"/>
  <c r="M41" i="5"/>
  <c r="M42" i="5"/>
  <c r="M103" i="5"/>
  <c r="M34" i="5"/>
  <c r="M13" i="5"/>
  <c r="M26" i="5"/>
  <c r="M72" i="5"/>
  <c r="M67" i="5"/>
  <c r="M73" i="5"/>
  <c r="M74" i="5"/>
  <c r="M22" i="5"/>
  <c r="M106" i="5"/>
  <c r="M15" i="5"/>
  <c r="M39" i="5"/>
  <c r="M100" i="5"/>
  <c r="M70" i="5"/>
  <c r="M77" i="5"/>
  <c r="M94" i="5"/>
  <c r="M23" i="5"/>
  <c r="M36" i="5"/>
  <c r="M40" i="5"/>
  <c r="M25" i="5"/>
  <c r="M3" i="5"/>
  <c r="M78" i="5"/>
  <c r="M58" i="5"/>
  <c r="M107" i="5"/>
  <c r="M97" i="5"/>
  <c r="M14" i="5"/>
  <c r="M9" i="5"/>
  <c r="M54" i="5"/>
  <c r="M4" i="5"/>
  <c r="M61" i="5"/>
  <c r="M82" i="5"/>
  <c r="M84" i="5"/>
  <c r="M96" i="5"/>
  <c r="M52" i="5"/>
  <c r="M7" i="5"/>
  <c r="M21" i="5"/>
  <c r="M11" i="5"/>
  <c r="M5" i="5"/>
  <c r="M8" i="5"/>
  <c r="M56" i="5"/>
  <c r="M89" i="5"/>
  <c r="M63" i="5"/>
  <c r="M66" i="5"/>
  <c r="M37" i="5"/>
  <c r="M27" i="5"/>
  <c r="M20" i="5"/>
  <c r="M33" i="5"/>
  <c r="M35" i="5"/>
  <c r="L22" i="6"/>
  <c r="M87" i="5"/>
  <c r="M79" i="5"/>
  <c r="M98" i="5"/>
  <c r="M6" i="5"/>
  <c r="M32" i="5"/>
  <c r="M45" i="5"/>
  <c r="D9" i="5" l="1"/>
  <c r="D23" i="5"/>
  <c r="D5" i="5"/>
  <c r="F7" i="6" s="1"/>
  <c r="I7" i="6" s="1"/>
  <c r="M22" i="6"/>
  <c r="L28" i="6"/>
  <c r="L26" i="6"/>
  <c r="N5" i="5" l="1"/>
  <c r="D22" i="5"/>
  <c r="F16" i="6" s="1"/>
  <c r="I16" i="6" s="1"/>
  <c r="D27" i="5"/>
  <c r="H24" i="5"/>
  <c r="G22" i="5"/>
  <c r="D13" i="5"/>
  <c r="D8" i="5"/>
  <c r="M28" i="6"/>
  <c r="L29" i="6"/>
  <c r="M29" i="6" s="1"/>
  <c r="M26" i="6"/>
  <c r="L27" i="6"/>
  <c r="M27" i="6" s="1"/>
  <c r="F12" i="5" l="1"/>
  <c r="D12" i="5"/>
  <c r="F10" i="6" s="1"/>
  <c r="I10" i="6" s="1"/>
  <c r="D17" i="5"/>
  <c r="F13" i="6"/>
  <c r="F12" i="6"/>
  <c r="F8" i="6"/>
  <c r="I8" i="6" s="1"/>
  <c r="I6" i="6" s="1"/>
  <c r="C8" i="7" s="1"/>
  <c r="N8" i="5"/>
  <c r="H30" i="5"/>
  <c r="D26" i="5"/>
  <c r="D34" i="5" s="1"/>
  <c r="D33" i="5" s="1"/>
  <c r="D41" i="5"/>
  <c r="I12" i="6" l="1"/>
  <c r="K12" i="6"/>
  <c r="I13" i="6"/>
  <c r="K13" i="6"/>
  <c r="D44" i="5"/>
  <c r="D43" i="5" s="1"/>
  <c r="F40" i="5"/>
  <c r="D40" i="5"/>
  <c r="F21" i="6" s="1"/>
  <c r="K8" i="7"/>
  <c r="F8" i="7"/>
  <c r="N8" i="7"/>
  <c r="L8" i="7"/>
  <c r="G8" i="7"/>
  <c r="J8" i="7"/>
  <c r="D8" i="7"/>
  <c r="I8" i="7"/>
  <c r="H8" i="7"/>
  <c r="O8" i="7"/>
  <c r="M8" i="7"/>
  <c r="E8" i="7"/>
  <c r="F26" i="5"/>
  <c r="H26" i="5"/>
  <c r="F17" i="6"/>
  <c r="I17" i="6" s="1"/>
  <c r="F16" i="5"/>
  <c r="D16" i="5"/>
  <c r="F11" i="6" s="1"/>
  <c r="I11" i="6" s="1"/>
  <c r="I9" i="6" l="1"/>
  <c r="C10" i="7" s="1"/>
  <c r="D10" i="7" s="1"/>
  <c r="I21" i="6"/>
  <c r="L16" i="6"/>
  <c r="M16" i="6" s="1"/>
  <c r="D37" i="5"/>
  <c r="D36" i="5" s="1"/>
  <c r="F22" i="6"/>
  <c r="D48" i="5"/>
  <c r="D47" i="5" s="1"/>
  <c r="F10" i="7" l="1"/>
  <c r="H10" i="7"/>
  <c r="I10" i="7"/>
  <c r="N10" i="7"/>
  <c r="L10" i="7"/>
  <c r="O10" i="7"/>
  <c r="G10" i="7"/>
  <c r="K10" i="7"/>
  <c r="J10" i="7"/>
  <c r="M10" i="7"/>
  <c r="E10" i="7"/>
  <c r="I22" i="6"/>
  <c r="F33" i="5"/>
  <c r="F18" i="6"/>
  <c r="F36" i="5"/>
  <c r="F37" i="5" s="1"/>
  <c r="F19" i="6"/>
  <c r="F23" i="6"/>
  <c r="D95" i="5"/>
  <c r="D52" i="5"/>
  <c r="D51" i="5" s="1"/>
  <c r="I23" i="6" l="1"/>
  <c r="L17" i="6"/>
  <c r="D56" i="5"/>
  <c r="F24" i="6"/>
  <c r="D74" i="5"/>
  <c r="I19" i="6"/>
  <c r="I18" i="6"/>
  <c r="D98" i="5"/>
  <c r="D96" i="5"/>
  <c r="I15" i="6" l="1"/>
  <c r="I12" i="7" s="1"/>
  <c r="D12" i="7"/>
  <c r="G12" i="7"/>
  <c r="D97" i="5"/>
  <c r="F36" i="6" s="1"/>
  <c r="D103" i="5"/>
  <c r="D60" i="5"/>
  <c r="D59" i="5" s="1"/>
  <c r="D55" i="5"/>
  <c r="F25" i="6" s="1"/>
  <c r="N12" i="7"/>
  <c r="K12" i="7"/>
  <c r="D73" i="5"/>
  <c r="F28" i="6" s="1"/>
  <c r="D78" i="5"/>
  <c r="F12" i="7"/>
  <c r="M17" i="6"/>
  <c r="L18" i="6"/>
  <c r="M18" i="6" s="1"/>
  <c r="L19" i="6"/>
  <c r="M19" i="6" s="1"/>
  <c r="I24" i="6"/>
  <c r="O12" i="7"/>
  <c r="L12" i="7"/>
  <c r="M12" i="7"/>
  <c r="H12" i="7"/>
  <c r="J12" i="7"/>
  <c r="E12" i="7"/>
  <c r="F26" i="6" l="1"/>
  <c r="D67" i="5"/>
  <c r="D66" i="5" s="1"/>
  <c r="F27" i="6" s="1"/>
  <c r="D106" i="5"/>
  <c r="D105" i="5" s="1"/>
  <c r="F38" i="6" s="1"/>
  <c r="D102" i="5"/>
  <c r="F37" i="6" s="1"/>
  <c r="I28" i="6"/>
  <c r="I25" i="6"/>
  <c r="L36" i="6"/>
  <c r="M36" i="6" s="1"/>
  <c r="I36" i="6"/>
  <c r="D77" i="5"/>
  <c r="F29" i="6" s="1"/>
  <c r="D83" i="5"/>
  <c r="I29" i="6" l="1"/>
  <c r="D82" i="5"/>
  <c r="F31" i="6" s="1"/>
  <c r="D86" i="5"/>
  <c r="I37" i="6"/>
  <c r="L37" i="6"/>
  <c r="M37" i="6" s="1"/>
  <c r="I38" i="6"/>
  <c r="L38" i="6"/>
  <c r="M38" i="6" s="1"/>
  <c r="I27" i="6"/>
  <c r="I26" i="6"/>
  <c r="I34" i="6" l="1"/>
  <c r="D85" i="5"/>
  <c r="F32" i="6" s="1"/>
  <c r="D89" i="5"/>
  <c r="D88" i="5" s="1"/>
  <c r="F33" i="6" s="1"/>
  <c r="I31" i="6"/>
  <c r="I20" i="6"/>
  <c r="C16" i="7" l="1"/>
  <c r="I14" i="6"/>
  <c r="I33" i="6"/>
  <c r="I32" i="6"/>
  <c r="I30" i="6" s="1"/>
  <c r="D16" i="7"/>
  <c r="J16" i="7"/>
  <c r="F16" i="7"/>
  <c r="I16" i="7"/>
  <c r="N16" i="7"/>
  <c r="E16" i="7"/>
  <c r="M16" i="7"/>
  <c r="G16" i="7"/>
  <c r="O16" i="7"/>
  <c r="L16" i="7"/>
  <c r="H16" i="7"/>
  <c r="K16" i="7"/>
  <c r="I5" i="6" l="1"/>
  <c r="D6" i="13" s="1"/>
  <c r="K14" i="7"/>
  <c r="K6" i="7" s="1"/>
  <c r="L14" i="7"/>
  <c r="L6" i="7" s="1"/>
  <c r="M14" i="7"/>
  <c r="M6" i="7" s="1"/>
  <c r="J14" i="7"/>
  <c r="J6" i="7" s="1"/>
  <c r="C6" i="7"/>
  <c r="C13" i="7" s="1"/>
  <c r="E14" i="7"/>
  <c r="E6" i="7" s="1"/>
  <c r="N14" i="7"/>
  <c r="N6" i="7" s="1"/>
  <c r="D14" i="7"/>
  <c r="D6" i="7" s="1"/>
  <c r="F14" i="7"/>
  <c r="F6" i="7" s="1"/>
  <c r="H14" i="7"/>
  <c r="H6" i="7" s="1"/>
  <c r="I14" i="7"/>
  <c r="I6" i="7" s="1"/>
  <c r="O14" i="7"/>
  <c r="O6" i="7" s="1"/>
  <c r="G14" i="7"/>
  <c r="G6" i="7" s="1"/>
  <c r="K5" i="6" l="1"/>
  <c r="F3" i="5"/>
  <c r="L40" i="6"/>
  <c r="S23" i="6"/>
  <c r="S37" i="6"/>
  <c r="S21" i="6"/>
  <c r="S35" i="6"/>
  <c r="S8" i="6"/>
  <c r="S24" i="6"/>
  <c r="S38" i="6"/>
  <c r="S10" i="6"/>
  <c r="S25" i="6"/>
  <c r="S7" i="6"/>
  <c r="U7" i="6" s="1"/>
  <c r="S11" i="6"/>
  <c r="S26" i="6"/>
  <c r="S12" i="6"/>
  <c r="S27" i="6"/>
  <c r="S28" i="6"/>
  <c r="S16" i="6"/>
  <c r="U8" i="6" s="1"/>
  <c r="S29" i="6"/>
  <c r="S17" i="6"/>
  <c r="S31" i="6"/>
  <c r="S32" i="6"/>
  <c r="S22" i="6"/>
  <c r="S36" i="6"/>
  <c r="S18" i="6"/>
  <c r="S19" i="6"/>
  <c r="S33" i="6"/>
  <c r="S13" i="6"/>
  <c r="N18" i="7"/>
  <c r="N17" i="7" s="1"/>
  <c r="N5" i="7"/>
  <c r="G18" i="7"/>
  <c r="G17" i="7" s="1"/>
  <c r="G5" i="7"/>
  <c r="L41" i="6"/>
  <c r="L42" i="6" s="1"/>
  <c r="L43" i="6" s="1"/>
  <c r="L44" i="6" s="1"/>
  <c r="E18" i="7"/>
  <c r="E17" i="7" s="1"/>
  <c r="E5" i="7"/>
  <c r="M5" i="7"/>
  <c r="M18" i="7"/>
  <c r="M17" i="7" s="1"/>
  <c r="I5" i="7"/>
  <c r="I18" i="7"/>
  <c r="I17" i="7" s="1"/>
  <c r="D18" i="7"/>
  <c r="D5" i="7"/>
  <c r="J18" i="7"/>
  <c r="J17" i="7" s="1"/>
  <c r="J5" i="7"/>
  <c r="L5" i="7"/>
  <c r="L18" i="7"/>
  <c r="L17" i="7" s="1"/>
  <c r="O18" i="7"/>
  <c r="O17" i="7" s="1"/>
  <c r="O5" i="7"/>
  <c r="H18" i="7"/>
  <c r="H17" i="7" s="1"/>
  <c r="H5" i="7"/>
  <c r="C7" i="7"/>
  <c r="C11" i="7"/>
  <c r="C9" i="7"/>
  <c r="C15" i="7"/>
  <c r="K18" i="7"/>
  <c r="K17" i="7" s="1"/>
  <c r="K5" i="7"/>
  <c r="F18" i="7"/>
  <c r="F17" i="7" s="1"/>
  <c r="F5" i="7"/>
  <c r="D8" i="13"/>
  <c r="C5" i="7" l="1"/>
  <c r="Q5" i="7"/>
  <c r="D17" i="7"/>
  <c r="Q17" i="7" s="1"/>
  <c r="D20" i="7"/>
  <c r="E20" i="7" l="1"/>
  <c r="D19" i="7"/>
  <c r="F20" i="7" l="1"/>
  <c r="E19" i="7"/>
  <c r="F19" i="7" l="1"/>
  <c r="G20" i="7"/>
  <c r="H20" i="7" l="1"/>
  <c r="G19" i="7"/>
  <c r="I20" i="7" l="1"/>
  <c r="H19" i="7"/>
  <c r="I19" i="7" l="1"/>
  <c r="J20" i="7"/>
  <c r="J19" i="7" l="1"/>
  <c r="K20" i="7"/>
  <c r="L20" i="7" l="1"/>
  <c r="K19" i="7"/>
  <c r="M20" i="7" l="1"/>
  <c r="L19" i="7"/>
  <c r="M19" i="7" l="1"/>
  <c r="N20" i="7"/>
  <c r="N19" i="7" l="1"/>
  <c r="O20" i="7"/>
  <c r="O19" i="7" s="1"/>
</calcChain>
</file>

<file path=xl/sharedStrings.xml><?xml version="1.0" encoding="utf-8"?>
<sst xmlns="http://schemas.openxmlformats.org/spreadsheetml/2006/main" count="5215" uniqueCount="1031">
  <si>
    <t>Bancos</t>
  </si>
  <si>
    <t>B.D.I.</t>
  </si>
  <si>
    <t>Encargos Sociais</t>
  </si>
  <si>
    <t>23,7%</t>
  </si>
  <si>
    <t>Não Desonerado: 
Horista: 114,47%
Mensalista: 70,91%</t>
  </si>
  <si>
    <t>Item</t>
  </si>
  <si>
    <t>Código</t>
  </si>
  <si>
    <t>Banco</t>
  </si>
  <si>
    <t>Descrição</t>
  </si>
  <si>
    <t>Und</t>
  </si>
  <si>
    <t>Quant.</t>
  </si>
  <si>
    <t>Valor Unit</t>
  </si>
  <si>
    <t>Total</t>
  </si>
  <si>
    <t>SERVIÇOS PRELIMINARES</t>
  </si>
  <si>
    <t xml:space="preserve"> 1.1.1 </t>
  </si>
  <si>
    <t xml:space="preserve"> CCU 04 </t>
  </si>
  <si>
    <t>Próprio</t>
  </si>
  <si>
    <t>T x Km</t>
  </si>
  <si>
    <t xml:space="preserve"> 1.1.2 </t>
  </si>
  <si>
    <t>ORSE</t>
  </si>
  <si>
    <t>Placa de obra em chapa aço galvanizado, instalada - Rev 02_01/2022</t>
  </si>
  <si>
    <t>m²</t>
  </si>
  <si>
    <t xml:space="preserve"> CPU-CODEVASF-12 </t>
  </si>
  <si>
    <t>und</t>
  </si>
  <si>
    <t xml:space="preserve"> CCU 02 </t>
  </si>
  <si>
    <t>CANTEIRO DE OBRAS EM CONTAINER (Escritório + WCs + Almoxarifado + Laboratório)</t>
  </si>
  <si>
    <t>UND</t>
  </si>
  <si>
    <t>PROJETO EXECUTIVO</t>
  </si>
  <si>
    <t xml:space="preserve"> 1.2.1 </t>
  </si>
  <si>
    <t xml:space="preserve"> 9345 </t>
  </si>
  <si>
    <t>Levantamento topográfico planimétrico de rua (via pública) e semi - cadastro de imóveis</t>
  </si>
  <si>
    <t>m</t>
  </si>
  <si>
    <t xml:space="preserve"> 1.2.2 </t>
  </si>
  <si>
    <t xml:space="preserve"> CPU-CODEVASF-10 </t>
  </si>
  <si>
    <t>PROJETO DE PAVIMENTAÇAO - VIA LOCAL (Apenas M.O. - excluindo impressão) _ [SUDECAP 62.03.08]</t>
  </si>
  <si>
    <t>KM</t>
  </si>
  <si>
    <t>AQUISIÇÃO E TRANSPORTE DE MATERIAL BETUMINOSO (BDI DIFERENCIADO)</t>
  </si>
  <si>
    <t xml:space="preserve"> 1.3.1 </t>
  </si>
  <si>
    <t>SINAPI</t>
  </si>
  <si>
    <t>T</t>
  </si>
  <si>
    <t xml:space="preserve"> 1.3.2 </t>
  </si>
  <si>
    <t>KG</t>
  </si>
  <si>
    <t xml:space="preserve"> 1.3.3 </t>
  </si>
  <si>
    <t xml:space="preserve"> 102330 </t>
  </si>
  <si>
    <t>TXKM</t>
  </si>
  <si>
    <t xml:space="preserve"> 102331 </t>
  </si>
  <si>
    <t>APLICAÇÃO DE MATERIAL BETUMINOSO</t>
  </si>
  <si>
    <t xml:space="preserve"> 1.4.1 </t>
  </si>
  <si>
    <t xml:space="preserve"> 1.4.2 </t>
  </si>
  <si>
    <t>m³</t>
  </si>
  <si>
    <t xml:space="preserve"> 1.5.1 </t>
  </si>
  <si>
    <t>SERVIÇOS COMPLEMENTARES</t>
  </si>
  <si>
    <t xml:space="preserve"> CCU 10 </t>
  </si>
  <si>
    <t>Conserto de quebra no ramal na rua sem pavimento com fornecimento de material hidráulico</t>
  </si>
  <si>
    <t xml:space="preserve"> 2725 </t>
  </si>
  <si>
    <t>m2</t>
  </si>
  <si>
    <t xml:space="preserve"> CPU-CODEVASF-16 </t>
  </si>
  <si>
    <t>PODA DE ÁRVORE _ [SBC 201026]</t>
  </si>
  <si>
    <t>SISTEMA DE REGISTRO DE PREÇO 6ª SR CODEVASF</t>
  </si>
  <si>
    <t>Aquição de Materiais Betuminoso</t>
  </si>
  <si>
    <t>ITEM</t>
  </si>
  <si>
    <t>Material</t>
  </si>
  <si>
    <t>R$/KG (Tabela ANP)</t>
  </si>
  <si>
    <t>Custo  R$/KG</t>
  </si>
  <si>
    <t>Custo R$ C/BDI</t>
  </si>
  <si>
    <t>*ICMS 18% E BDI 15%</t>
  </si>
  <si>
    <t>MEMÓRIA DE CÁLCULO DOS MOMENTOS DE TRANSPORTE PARA MOBILIZAÇÃO E DESMOBILIZAÇÃO</t>
  </si>
  <si>
    <t>Deslocamento:</t>
  </si>
  <si>
    <t>Distancia méd. (Km)</t>
  </si>
  <si>
    <t xml:space="preserve">Qtde. </t>
  </si>
  <si>
    <t>Total (Km)</t>
  </si>
  <si>
    <t>Mobilização (entre os trechos de serviço):</t>
  </si>
  <si>
    <t>Desmobilização   (entre os trechos de serviço):</t>
  </si>
  <si>
    <t>Mobilização - Total (km)</t>
  </si>
  <si>
    <t>Desmobilização - Total (km)</t>
  </si>
  <si>
    <t>Obs.: CAVALO MECÂNICO COM
SEMI-REBOQUE E
CAPACIDADE DE 30
T - 240 KW (E9666)
+ ESCOLTA VEÍCULO
LEVE (E9512).</t>
  </si>
  <si>
    <t>Peso das máquinas:</t>
  </si>
  <si>
    <t xml:space="preserve"> ton</t>
  </si>
  <si>
    <t>ROLO COMPACTADOR DE PNEUS, ESTATICO, PRESSAO VARIAVEL, POTENCIA 111 HP</t>
  </si>
  <si>
    <t>TRATOR DE PNEUS COM POTENCIA DE 85 CV, TRACAO 4 X 4, PESO COM LASTRO DE 4675 KG</t>
  </si>
  <si>
    <t>CONTAINER 2,30 X 6,00 M, ALT. 2,50 M (04 UNIDADES)</t>
  </si>
  <si>
    <t>Portanto:</t>
  </si>
  <si>
    <t>Portanto</t>
  </si>
  <si>
    <t xml:space="preserve"> t x km</t>
  </si>
  <si>
    <t>VIBROACABADORA DE ASFALTO SOBRE ESTEIRAS, LARG. PAVIMENT. 1,90 A 5,3 M, POT. 78 KW/105 HP, CAP. 450 T/H</t>
  </si>
  <si>
    <t>ROLO COMPACTADOR VIBRATORIO DE UM CILINDRO, ACO LISO, POTENCIA 80 HP, PESO OPERACIONAL MAXIMO 8,1 T, IMPACTO DINAMICO 16,15/9,5 T, LARGURA TRABALHO 1,68 M</t>
  </si>
  <si>
    <t>ROLO COMPACTADOR VIBRATORIO TANDEM, ACO LISO, POTENCIA 125 HP, PESO SEM/COM LASTRO 10,20/11,65 T, LARGURA DE TRABALHO 1,73 M</t>
  </si>
  <si>
    <t>TRATOR DE PNEUS COM POTENCIA DE 122 CV, TRACAO 4 X 4, PESO COM LASTRO DE 4510 KG</t>
  </si>
  <si>
    <t>ESCAVADEIRA HIDRAULICA SOBRE ESTEIRAS, CACAMBA 0,80M3, PESO OPERACIONAL 17T, POTENCIA BRUTA 111HP</t>
  </si>
  <si>
    <t>RETROESCAVADEIRA SOBRE RODAS COM CARREGADEIRA, TRACAO 4 X 4, POTENCIA LIQUIDA 88 HP, PESO OPERACIONAL MINIMO DE 6674 KG, CAPACIDADE DA CARREGADEIRA DE 1,00 M3 E DA  RETROESCAVADEIRA MINIMA DE 0,26 M3, PROFUNDIDADE DE ESCAVACAO MAXIMA DE 4,37 M</t>
  </si>
  <si>
    <t>MOBILIZAÇÃO E DESMOBILIZAÇÃO (MÁQUINAS E CONTAINERS)</t>
  </si>
  <si>
    <t>ADMINISTRAÇÃO LOCAL DE OBRA (2022) _ ver coeficientes</t>
  </si>
  <si>
    <t xml:space="preserve"> 1.5.2 </t>
  </si>
  <si>
    <t>Complemento de altura para poço de visita em alvenaria com tijolos maciços esp. = 0,20m.</t>
  </si>
  <si>
    <t xml:space="preserve"> 1.5.3 </t>
  </si>
  <si>
    <t>Quantidades</t>
  </si>
  <si>
    <t>-</t>
  </si>
  <si>
    <t>Peso total a ser transportado</t>
  </si>
  <si>
    <t>t</t>
  </si>
  <si>
    <t>km</t>
  </si>
  <si>
    <t>ADMINISTRAÇÃO LOCAL DE OBRA (2022)_ ver coeficientes</t>
  </si>
  <si>
    <t>PROJETO DE PAVIMENTAÇAO - VIA LOCAL (Apenas M.O. - excluindo impressão) _ SUDECAP (62.03.08)</t>
  </si>
  <si>
    <t>PODA DE ÁRVORE _ SBC 201026</t>
  </si>
  <si>
    <t>Módulo padrão: Via com 7m de largura e 2.000m de extensão = 14.000m²</t>
  </si>
  <si>
    <t>T/M3</t>
  </si>
  <si>
    <t>DMT =Media das quilometragem entre fornecedor e cidades</t>
  </si>
  <si>
    <t>Km</t>
  </si>
  <si>
    <t>Quantidade de podas necessárias (estimativa): 10und</t>
  </si>
  <si>
    <t>TRANSPORTE COM CAMINHÃO TANQUE DE TRANSPORTE DE MATERIAL ASFÁLTICO DE 30000 L, EM VIA URBANA PAVIMENTADA, DMT ATÉ 30KM (UNIDADE: TXKM). AF_07/2020</t>
  </si>
  <si>
    <t>TRANSPORTE COM CAMINHÃO TANQUE DE TRANSPORTE DE MATERIAL ASFÁLTICO DE 30000 L, EM VIA URBANA PAVIMENTADA, ADICIONAL PARA DMT EXCEDENTE A 30 KM (UNIDADE: TXKM). AF_07/2020</t>
  </si>
  <si>
    <t>Perímetro de um poço de Visita com φ60cm: 2πR</t>
  </si>
  <si>
    <t>AQUISIÇÃO E TRANSPORTE DE MATERIAL BETUMINOSO (BDI DIFERENCIADO = 15%)</t>
  </si>
  <si>
    <t>Composições Analíticas com Preço Unitário</t>
  </si>
  <si>
    <t>Composições Principais</t>
  </si>
  <si>
    <t>Tipo</t>
  </si>
  <si>
    <t>Composição</t>
  </si>
  <si>
    <t>SEDI - SERVIÇOS DIVERSOS</t>
  </si>
  <si>
    <t>Composição Auxiliar</t>
  </si>
  <si>
    <t xml:space="preserve"> 5914640 </t>
  </si>
  <si>
    <t>SICRO3</t>
  </si>
  <si>
    <t>Transporte com cavalo mecânico com semirreboque com capacidade de 30 t - rodovia pavimentada</t>
  </si>
  <si>
    <t/>
  </si>
  <si>
    <t>tkm</t>
  </si>
  <si>
    <t>Valor do BDI =&gt;</t>
  </si>
  <si>
    <t>Valor com BDI =&gt;</t>
  </si>
  <si>
    <t xml:space="preserve"> 88316 </t>
  </si>
  <si>
    <t>SERVENTE COM ENCARGOS COMPLEMENTARES</t>
  </si>
  <si>
    <t>H</t>
  </si>
  <si>
    <t xml:space="preserve"> 88262 </t>
  </si>
  <si>
    <t>CARPINTEIRO DE FORMAS COM ENCARGOS COMPLEMENTARES</t>
  </si>
  <si>
    <t>Insumo</t>
  </si>
  <si>
    <t xml:space="preserve"> 00004813 </t>
  </si>
  <si>
    <t>PLACA DE OBRA (PARA CONSTRUCAO CIVIL) EM CHAPA GALVANIZADA *N. 22*, ADESIVADA, DE *2,0 X 1,125* M</t>
  </si>
  <si>
    <t xml:space="preserve"> 00005075 </t>
  </si>
  <si>
    <t>PREGO DE ACO POLIDO COM CABECA 18 X 30 (2 3/4 X 10)</t>
  </si>
  <si>
    <t>CANT - CANTEIRO DE OBRAS</t>
  </si>
  <si>
    <t xml:space="preserve"> 90777 </t>
  </si>
  <si>
    <t>ENGENHEIRO CIVIL DE OBRA JUNIOR COM ENCARGOS COMPLEMENTARES</t>
  </si>
  <si>
    <t xml:space="preserve"> 90780 </t>
  </si>
  <si>
    <t>MESTRE DE OBRAS COM ENCARGOS COMPLEMENTARES</t>
  </si>
  <si>
    <t xml:space="preserve"> 90772 </t>
  </si>
  <si>
    <t>AUXILIAR DE ESCRITORIO COM ENCARGOS COMPLEMENTARES</t>
  </si>
  <si>
    <t xml:space="preserve"> 88321 </t>
  </si>
  <si>
    <t>TÉCNICO DE LABORATÓRIO COM ENCARGOS COMPLEMENTARES</t>
  </si>
  <si>
    <t xml:space="preserve"> 88249 </t>
  </si>
  <si>
    <t>AUXILIAR DE LABORATÓRIO COM ENCARGOS COMPLEMENTARES</t>
  </si>
  <si>
    <t xml:space="preserve"> 4415 </t>
  </si>
  <si>
    <t>Veículo leve - Volkswagen:GOL 1000 - automóvel até 100 hp</t>
  </si>
  <si>
    <t>Equipamento</t>
  </si>
  <si>
    <t>h</t>
  </si>
  <si>
    <t xml:space="preserve"> 00010775 </t>
  </si>
  <si>
    <t>LOCACAO DE CONTAINER 2,30 X 6,00 M, ALT. 2,50 M, COM 1 SANITARIO, PARA ESCRITORIO, COMPLETO, SEM DIVISORIAS INTERNAS (NAO INCLUI MOBILIZACAO/DESMOBILIZACAO)</t>
  </si>
  <si>
    <t>MES</t>
  </si>
  <si>
    <t xml:space="preserve"> 00010776 </t>
  </si>
  <si>
    <t>LOCACAO DE CONTAINER 2,30 X 6,00 M, ALT. 2,50 M, PARA ESCRITORIO, SEM DIVISORIAS INTERNAS E SEM SANITARIO (NAO INCLUI MOBILIZACAO/DESMOBILIZACAO)</t>
  </si>
  <si>
    <t xml:space="preserve"> 00010779 </t>
  </si>
  <si>
    <t>LOCACAO DE CONTAINER 2,30 X 4,30 M, ALT. 2,50 M, P/ SANITARIO, C/ 5 BACIAS, 1 LAVATORIO E 4 MICTORIOS (NAO INCLUI MOBILIZACAO/DESMOBILIZACAO)</t>
  </si>
  <si>
    <t>Locação de Serviços de Terraplenagem e Acompanhamento Topográfico da Obra</t>
  </si>
  <si>
    <t xml:space="preserve"> 48 </t>
  </si>
  <si>
    <t>Auxiliar topografia - T4 - Segundo grau completo - DNIT -  Mês de ref.: 01/22</t>
  </si>
  <si>
    <t>Mão de Obra</t>
  </si>
  <si>
    <t xml:space="preserve"> 70 </t>
  </si>
  <si>
    <t>Topografo - T2 - Fonte DNIT -  Mês de ref.: 01/22</t>
  </si>
  <si>
    <t xml:space="preserve"> 5931 </t>
  </si>
  <si>
    <t>Técnico cadastro TÉCNICO CADASTRO</t>
  </si>
  <si>
    <t xml:space="preserve"> 6443 </t>
  </si>
  <si>
    <t>TEODOLITO</t>
  </si>
  <si>
    <t xml:space="preserve"> 6694 </t>
  </si>
  <si>
    <t>Desenhista Júnior (Cadista Copista) - Técnico de Nível médio até 5 anos de experiência - Rev 01</t>
  </si>
  <si>
    <t>SERT - SERVIÇOS TÉCNICOS</t>
  </si>
  <si>
    <t xml:space="preserve"> 90779 </t>
  </si>
  <si>
    <t>ENGENHEIRO CIVIL DE OBRA SENIOR COM ENCARGOS COMPLEMENTARES</t>
  </si>
  <si>
    <t xml:space="preserve"> 100533 </t>
  </si>
  <si>
    <t>TECNICO DE EDIFICACOES COM ENCARGOS COMPLEMENTARES</t>
  </si>
  <si>
    <t xml:space="preserve"> 88597 </t>
  </si>
  <si>
    <t>DESENHISTA DETALHISTA COM ENCARGOS COMPLEMENTARES</t>
  </si>
  <si>
    <t>TRAN - TRANSPORTES, CARGAS E DESCARGAS</t>
  </si>
  <si>
    <t xml:space="preserve"> 91646 </t>
  </si>
  <si>
    <t>CAMINHÃO DE TRANSPORTE DE MATERIAL ASFÁLTICO 30.000 L, COM CAVALO MECÂNICO DE CAPACIDADE MÁXIMA DE TRAÇÃO COMBINADO DE 66.000 KG, POTÊNCIA 360 CV, INCLUSIVE TANQUE DE ASFALTO COM SERPENTINA - CHI DIURNO. AF_08/2015</t>
  </si>
  <si>
    <t>CHOR - CUSTOS HORÁRIOS DE MÁQUINAS E EQUIPAMENTOS</t>
  </si>
  <si>
    <t>CHI</t>
  </si>
  <si>
    <t xml:space="preserve"> 91645 </t>
  </si>
  <si>
    <t>CAMINHÃO DE TRANSPORTE DE MATERIAL ASFÁLTICO 30.000 L, COM CAVALO MECÂNICO DE CAPACIDADE MÁXIMA DE TRAÇÃO COMBINADO DE 66.000 KG, POTÊNCIA 360 CV, INCLUSIVE TANQUE DE ASFALTO COM SERPENTINA - CHP DIURNO. AF_08/2015</t>
  </si>
  <si>
    <t>CHP</t>
  </si>
  <si>
    <t xml:space="preserve"> 88267 </t>
  </si>
  <si>
    <t>ENCANADOR OU BOMBEIRO HIDRÁULICO COM ENCARGOS COMPLEMENTARES</t>
  </si>
  <si>
    <t xml:space="preserve"> 00009867 </t>
  </si>
  <si>
    <t>TUBO PVC, SOLDAVEL, DN 20 MM, AGUA FRIA (NBR-5648)</t>
  </si>
  <si>
    <t>M</t>
  </si>
  <si>
    <t xml:space="preserve"> 10585 </t>
  </si>
  <si>
    <t>Arco de serra</t>
  </si>
  <si>
    <t>un</t>
  </si>
  <si>
    <t xml:space="preserve"> 00003859 </t>
  </si>
  <si>
    <t>LUVA SOLDAVEL COM ROSCA, PVC, 20 MM X 1/2", PARA AGUA FRIA PREDIAL</t>
  </si>
  <si>
    <t>UN</t>
  </si>
  <si>
    <t>Poços de Visita para Redes de Drenagem</t>
  </si>
  <si>
    <t xml:space="preserve"> 157 </t>
  </si>
  <si>
    <t>Alvenaria tijolo cerâmico maciço (5x9x19), esp = 0,19m (dobrada), com argamassa traço t5 - 1:2:8 (cimento / cal / areia) c/ junta de 2,0cm - R1</t>
  </si>
  <si>
    <t>Alvenarias de Vedação</t>
  </si>
  <si>
    <t xml:space="preserve"> 1903 </t>
  </si>
  <si>
    <t>Argamassa cimento e areia traço t-1 (1:3) - 1 saco cimento 50kg / 3 padiolas areia dim. 0.35 x 0.45 x 0.23 m - Confecção mecânica e transporte</t>
  </si>
  <si>
    <t>Argamassas</t>
  </si>
  <si>
    <t xml:space="preserve"> 88441 </t>
  </si>
  <si>
    <t>JARDINEIRO COM ENCARGOS COMPLEMENTARES</t>
  </si>
  <si>
    <t xml:space="preserve"> 00000367 </t>
  </si>
  <si>
    <t>AREIA GROSSA - POSTO JAZIDA/FORNECEDOR (RETIRADO NA JAZIDA, SEM TRANSPORTE)</t>
  </si>
  <si>
    <t>Composições Auxiliares</t>
  </si>
  <si>
    <t xml:space="preserve"> 88830 </t>
  </si>
  <si>
    <t>BETONEIRA CAPACIDADE NOMINAL DE 400 L, CAPACIDADE DE MISTURA 280 L, MOTOR ELÉTRICO TRIFÁSICO POTÊNCIA DE 2 CV, SEM CARREGADOR - CHP DIURNO. AF_10/2014</t>
  </si>
  <si>
    <t xml:space="preserve"> 88831 </t>
  </si>
  <si>
    <t>BETONEIRA CAPACIDADE NOMINAL DE 400 L, CAPACIDADE DE MISTURA 280 L, MOTOR ELÉTRICO TRIFÁSICO POTÊNCIA DE 2 CV, SEM CARREGADOR - CHI DIURNO. AF_10/2014</t>
  </si>
  <si>
    <t xml:space="preserve"> 88377 </t>
  </si>
  <si>
    <t>OPERADOR DE BETONEIRA ESTACIONÁRIA/MISTURADOR COM ENCARGOS COMPLEMENTARES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</si>
  <si>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</si>
  <si>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</si>
  <si>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</si>
  <si>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</si>
  <si>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 xml:space="preserve"> 95398 </t>
  </si>
  <si>
    <t>CURSO DE CAPACITAÇÃO PARA AUXILIAR DE ESCRITÓRIO (ENCARGOS COMPLEMENTARES) - HORISTA</t>
  </si>
  <si>
    <t xml:space="preserve"> 00002350 </t>
  </si>
  <si>
    <t>AUXILIAR DE ESCRITORIO (HORISTA)</t>
  </si>
  <si>
    <t xml:space="preserve"> 00043482 </t>
  </si>
  <si>
    <t>EPI - FAMILIA ALMOXARIFE - HORISTA (ENCARGOS COMPLEMENTARES - COLETADO CAIXA)</t>
  </si>
  <si>
    <t xml:space="preserve"> 00037372 </t>
  </si>
  <si>
    <t>EXAMES - HORISTA (COLETADO CAIXA)</t>
  </si>
  <si>
    <t>Outros</t>
  </si>
  <si>
    <t xml:space="preserve"> 00043458 </t>
  </si>
  <si>
    <t>FERRAMENTAS - FAMILIA ALMOXARIFE - HORISTA (ENCARGOS COMPLEMENTARES - COLETADO CAIXA)</t>
  </si>
  <si>
    <t xml:space="preserve"> 00037373 </t>
  </si>
  <si>
    <t>SEGURO - HORISTA (COLETADO CAIXA)</t>
  </si>
  <si>
    <t>Taxas</t>
  </si>
  <si>
    <t xml:space="preserve"> 95318 </t>
  </si>
  <si>
    <t>CURSO DE CAPACITAÇÃO PARA AUXILIAR DE LABORATÓRIO (ENCARGOS COMPLEMENTARES) - HORISTA</t>
  </si>
  <si>
    <t xml:space="preserve"> 00000245 </t>
  </si>
  <si>
    <t>AUXILIAR DE LABORATORISTA DE SOLOS E DE CONCRETO (HORISTA)</t>
  </si>
  <si>
    <t xml:space="preserve"> 3308 </t>
  </si>
  <si>
    <t>Argamassa em volume - cimento, cal e areia traço t-5 (1:2:8) - 1 saco cimento 50 kg / 2 sacos cal 20 kg / 8 padiolas de areia dim 0.35 x 0.45 x 0.13 m - Confecção mecânica e transporte</t>
  </si>
  <si>
    <t>Conversão InfoWOrca</t>
  </si>
  <si>
    <t xml:space="preserve"> 10549 </t>
  </si>
  <si>
    <t>Encargos Complementares - Servente</t>
  </si>
  <si>
    <t>Provisórios</t>
  </si>
  <si>
    <t xml:space="preserve"> 10550 </t>
  </si>
  <si>
    <t>Encargos Complementares - Pedreiro</t>
  </si>
  <si>
    <t xml:space="preserve"> 2212 </t>
  </si>
  <si>
    <t>Tijolo cerâmico maciço 5 x 9 x 19cm</t>
  </si>
  <si>
    <t xml:space="preserve"> 00004750 </t>
  </si>
  <si>
    <t>PEDREIRO (HORISTA)</t>
  </si>
  <si>
    <t xml:space="preserve"> 00006111 </t>
  </si>
  <si>
    <t>SERVENTE DE OBRAS</t>
  </si>
  <si>
    <t xml:space="preserve"> 00001106 </t>
  </si>
  <si>
    <t>CAL HIDRATADA CH-I PARA ARGAMASSAS</t>
  </si>
  <si>
    <t xml:space="preserve"> 88827 </t>
  </si>
  <si>
    <t>BETONEIRA CAPACIDADE NOMINAL DE 400 L, CAPACIDADE DE MISTURA 280 L, MOTOR ELÉTRICO TRIFÁSICO POTÊNCIA DE 2 CV, SEM CARREGADOR - JUROS. AF_10/2014</t>
  </si>
  <si>
    <t xml:space="preserve"> 88826 </t>
  </si>
  <si>
    <t>BETONEIRA CAPACIDADE NOMINAL DE 400 L, CAPACIDADE DE MISTURA 280 L, MOTOR ELÉTRICO TRIFÁSICO POTÊNCIA DE 2 CV, SEM CARREGADOR - DEPRECIAÇÃO. AF_10/2014</t>
  </si>
  <si>
    <t xml:space="preserve"> 88829 </t>
  </si>
  <si>
    <t>BETONEIRA CAPACIDADE NOMINAL DE 400 L, CAPACIDADE DE MISTURA 280 L, MOTOR ELÉTRICO TRIFÁSICO POTÊNCIA DE 2 CV, SEM CARREGADOR - MATERIAIS NA OPERAÇÃO. AF_10/2014</t>
  </si>
  <si>
    <t xml:space="preserve"> 88828 </t>
  </si>
  <si>
    <t>BETONEIRA CAPACIDADE NOMINAL DE 400 L, CAPACIDADE DE MISTURA 280 L, MOTOR ELÉTRICO TRIFÁSICO POTÊNCIA DE 2 CV, SEM CARREGADOR - MANUTENÇÃO. AF_10/2014</t>
  </si>
  <si>
    <t xml:space="preserve"> 00010535 </t>
  </si>
  <si>
    <t>BETONEIRA CAPACIDADE NOMINAL 400 L, CAPACIDADE DE MISTURA  280 L, MOTOR ELETRICO TRIFASICO 220/380 V POTENCIA 2 CV, SEM CARREGADOR</t>
  </si>
  <si>
    <t xml:space="preserve"> 00002705 </t>
  </si>
  <si>
    <t>ENERGIA ELETRICA ATE 2000 KWH INDUSTRIAL, SEM DEMANDA</t>
  </si>
  <si>
    <t>KWH</t>
  </si>
  <si>
    <t xml:space="preserve"> 00037370 </t>
  </si>
  <si>
    <t>ALIMENTACAO - HORISTA (COLETADO CAIXA)</t>
  </si>
  <si>
    <t xml:space="preserve"> 00043489 </t>
  </si>
  <si>
    <t>EPI - FAMILIA PEDREIRO - HORISTA (ENCARGOS COMPLEMENTARES - COLETADO CAIXA)</t>
  </si>
  <si>
    <t xml:space="preserve"> 00043465 </t>
  </si>
  <si>
    <t>FERRAMENTAS - FAMILIA PEDREIRO - HORISTA (ENCARGOS COMPLEMENTARES - COLETADO CAIXA)</t>
  </si>
  <si>
    <t xml:space="preserve"> 00037371 </t>
  </si>
  <si>
    <t>TRANSPORTE - HORISTA (COLETADO CAIXA)</t>
  </si>
  <si>
    <t>Serviços</t>
  </si>
  <si>
    <t xml:space="preserve"> 00004221 </t>
  </si>
  <si>
    <t>OLEO DIESEL COMBUSTIVEL COMUM</t>
  </si>
  <si>
    <t>L</t>
  </si>
  <si>
    <t xml:space="preserve"> 91641 </t>
  </si>
  <si>
    <t>CAMINHÃO DE TRANSPORTE DE MATERIAL ASFÁLTICO 30.000 L, COM CAVALO MECÂNICO DE CAPACIDADE MÁXIMA DE TRAÇÃO COMBINADO DE 66.000 KG, POTÊNCIA 360 CV, INCLUSIVE TANQUE DE ASFALTO COM SERPENTINA - JUROS. AF_08/2015</t>
  </si>
  <si>
    <t xml:space="preserve"> 91642 </t>
  </si>
  <si>
    <t>CAMINHÃO DE TRANSPORTE DE MATERIAL ASFÁLTICO 30.000 L, COM CAVALO MECÂNICO DE CAPACIDADE MÁXIMA DE TRAÇÃO COMBINADO DE 66.000 KG, POTÊNCIA 360 CV, INCLUSIVE TANQUE DE ASFALTO COM SERPENTINA - IMPOSTOS E SEGUROS. AF_08/2015</t>
  </si>
  <si>
    <t xml:space="preserve"> 91640 </t>
  </si>
  <si>
    <t>CAMINHÃO DE TRANSPORTE DE MATERIAL ASFÁLTICO 30.000 L, COM CAVALO MECÂNICO DE CAPACIDADE MÁXIMA DE TRAÇÃO COMBINADO DE 66.000 KG, POTÊNCIA 360 CV, INCLUSIVE TANQUE DE ASFALTO COM SERPENTINA - DEPRECIAÇÃO. AF_08/2015</t>
  </si>
  <si>
    <t xml:space="preserve"> 88283 </t>
  </si>
  <si>
    <t>MOTORISTA DE CAMINHÃO E CARRETA COM ENCARGOS COMPLEMENTARES</t>
  </si>
  <si>
    <t xml:space="preserve"> 91643 </t>
  </si>
  <si>
    <t>CAMINHÃO DE TRANSPORTE DE MATERIAL ASFÁLTICO 30.000 L, COM CAVALO MECÂNICO DE CAPACIDADE MÁXIMA DE TRAÇÃO COMBINADO DE 66.000 KG, POTÊNCIA 360 CV, INCLUSIVE TANQUE DE ASFALTO COM SERPENTINA - MANUTENÇÃO. AF_08/2015</t>
  </si>
  <si>
    <t xml:space="preserve"> 91644 </t>
  </si>
  <si>
    <t>CAMINHÃO DE TRANSPORTE DE MATERIAL ASFÁLTICO 30.000 L, COM CAVALO MECÂNICO DE CAPACIDADE MÁXIMA DE TRAÇÃO COMBINADO DE 66.000 KG, POTÊNCIA 360 CV, INCLUSIVE TANQUE DE ASFALTO COM SERPENTINA - MATERIAIS NA OPERAÇÃO. AF_08/2015</t>
  </si>
  <si>
    <t xml:space="preserve"> 00013215 </t>
  </si>
  <si>
    <t>CAVALO MECANICO TRACAO 6X2, PESO BRUTO TOTAL COMBINADO 56000 KG, CAPACIDADE MAXIMA DE TRACAO *66000* KG, POTENCIA *360* CV (INCLUI CABINE E CHASSI, NAO INCLUI SEMIRREBOQUE)</t>
  </si>
  <si>
    <t xml:space="preserve"> 00014405 </t>
  </si>
  <si>
    <t>TANQUE DE ASFALTO ESTACIONARIO COM SERPENTINA, CAPACIDADE 30.000 L</t>
  </si>
  <si>
    <t xml:space="preserve"> 95330 </t>
  </si>
  <si>
    <t>CURSO DE CAPACITAÇÃO PARA CARPINTEIRO DE FÔRMAS (ENCARGOS COMPLEMENTARES) - HORISTA</t>
  </si>
  <si>
    <t xml:space="preserve"> 00001213 </t>
  </si>
  <si>
    <t>CARPINTEIRO DE FORMAS</t>
  </si>
  <si>
    <t xml:space="preserve"> 00043483 </t>
  </si>
  <si>
    <t>EPI - FAMILIA CARPINTEIRO DE FORMAS - HORISTA (ENCARGOS COMPLEMENTARES - COLETADO CAIXA)</t>
  </si>
  <si>
    <t xml:space="preserve"> 00043459 </t>
  </si>
  <si>
    <t>FERRAMENTAS - FAMILIA CARPINTEIRO DE FORMAS - HORISTA (ENCARGOS COMPLEMENTARES - COLETADO CAIXA)</t>
  </si>
  <si>
    <t xml:space="preserve"> 95391 </t>
  </si>
  <si>
    <t>CURSO DE CAPACITAÇÃO PARA DESENHISTA DETALHISTA (ENCARGOS COMPLEMENTARES) - HORISTA</t>
  </si>
  <si>
    <t xml:space="preserve"> 00002355 </t>
  </si>
  <si>
    <t>DESENHISTA DETALHISTA</t>
  </si>
  <si>
    <t xml:space="preserve"> 95335 </t>
  </si>
  <si>
    <t>CURSO DE CAPACITAÇÃO PARA ENCANADOR OU BOMBEIRO HIDRÁULICO (ENCARGOS COMPLEMENTARES) - HORISTA</t>
  </si>
  <si>
    <t xml:space="preserve"> 00002696 </t>
  </si>
  <si>
    <t>ENCANADOR OU BOMBEIRO HIDRAULICO</t>
  </si>
  <si>
    <t xml:space="preserve"> 95402 </t>
  </si>
  <si>
    <t>CURSO DE CAPACITAÇÃO PARA ENGENHEIRO CIVIL DE OBRA JÚNIOR (ENCARGOS COMPLEMENTARES) - HORISTA</t>
  </si>
  <si>
    <t xml:space="preserve"> 00002706 </t>
  </si>
  <si>
    <t>ENGENHEIRO CIVIL DE OBRA JUNIOR</t>
  </si>
  <si>
    <t xml:space="preserve"> 95404 </t>
  </si>
  <si>
    <t>CURSO DE CAPACITAÇÃO PARA ENGENHEIRO CIVIL DE OBRA SÊNIOR (ENCARGOS COMPLEMENTARES) - HORISTA</t>
  </si>
  <si>
    <t xml:space="preserve"> 00002708 </t>
  </si>
  <si>
    <t>ENGENHEIRO CIVIL DE OBRA SENIOR</t>
  </si>
  <si>
    <t xml:space="preserve"> 95390 </t>
  </si>
  <si>
    <t>CURSO DE CAPACITAÇÃO PARA JARDINEIRO (ENCARGOS COMPLEMENTARES) - HORISTA</t>
  </si>
  <si>
    <t xml:space="preserve"> 00044503 </t>
  </si>
  <si>
    <t>JARDINEIRO (HORISTA)</t>
  </si>
  <si>
    <t xml:space="preserve"> 95405 </t>
  </si>
  <si>
    <t>CURSO DE CAPACITAÇÃO PARA MESTRE DE OBRAS (ENCARGOS COMPLEMENTARES) - HORISTA</t>
  </si>
  <si>
    <t xml:space="preserve"> 00004069 </t>
  </si>
  <si>
    <t>MESTRE DE OBRAS</t>
  </si>
  <si>
    <t xml:space="preserve"> 95348 </t>
  </si>
  <si>
    <t>CURSO DE CAPACITAÇÃO PARA MOTORISTA DE CAMINHÃO E CARRETA (ENCARGOS COMPLEMENTARES) - HORISTA</t>
  </si>
  <si>
    <t xml:space="preserve"> 00004094 </t>
  </si>
  <si>
    <t>MOTORISTA DE CAMINHAO-CARRETA</t>
  </si>
  <si>
    <t xml:space="preserve"> 95389 </t>
  </si>
  <si>
    <t>CURSO DE CAPACITAÇÃO PARA OPERADOR DE BETONEIRA ESTACIONÁRIA/MISTURADOR (ENCARGOS COMPLEMENTARES) - HORISTA</t>
  </si>
  <si>
    <t xml:space="preserve"> 00037666 </t>
  </si>
  <si>
    <t>OPERADOR DE BETONEIRA ESTACIONARIA / MISTURADOR</t>
  </si>
  <si>
    <t xml:space="preserve"> 95378 </t>
  </si>
  <si>
    <t>CURSO DE CAPACITAÇÃO PARA SERVENTE (ENCARGOS COMPLEMENTARES) - HORISTA</t>
  </si>
  <si>
    <t xml:space="preserve"> 100535 </t>
  </si>
  <si>
    <t>CURSO DE CAPACITAÇÃO PARA TECNICO DE EDIFICACOES (ENCARGOS COMPLEMENTARES) - HORISTA</t>
  </si>
  <si>
    <t xml:space="preserve"> 00040945 </t>
  </si>
  <si>
    <t>TECNICO DE EDIFICACOES (HORISTA)</t>
  </si>
  <si>
    <t xml:space="preserve"> 95383 </t>
  </si>
  <si>
    <t>CURSO DE CAPACITAÇÃO PARA TÉCNICO DE LABORATÓRIO (ENCARGOS COMPLEMENTARES) - HORISTA</t>
  </si>
  <si>
    <t xml:space="preserve"> 00007153 </t>
  </si>
  <si>
    <t>TECNICO EM LABORATORIO E CAMPO DE CONSTRUCAO CIVIL (HORISTA)</t>
  </si>
  <si>
    <t xml:space="preserve"> 00043493 </t>
  </si>
  <si>
    <t>EPI - FAMILIA TOPOGRAFO - HORISTA (ENCARGOS COMPLEMENTARES - COLETADO CAIXA)</t>
  </si>
  <si>
    <t xml:space="preserve"> 00043469 </t>
  </si>
  <si>
    <t>FERRAMENTAS - FAMILIA TOPOGRAFO - HORISTA (ENCARGOS COMPLEMENTARES - COLETADO CAIXA)</t>
  </si>
  <si>
    <t xml:space="preserve"> 00043485 </t>
  </si>
  <si>
    <t>EPI - FAMILIA ENCANADOR - HORISTA (ENCARGOS COMPLEMENTARES - COLETADO CAIXA)</t>
  </si>
  <si>
    <t xml:space="preserve"> 00043461 </t>
  </si>
  <si>
    <t>FERRAMENTAS - FAMILIA ENCANADOR - HORISTA (ENCARGOS COMPLEMENTARES - COLETADO CAIXA)</t>
  </si>
  <si>
    <t xml:space="preserve"> 00043486 </t>
  </si>
  <si>
    <t>EPI - FAMILIA ENGENHEIRO CIVIL - HORISTA (ENCARGOS COMPLEMENTARES - COLETADO CAIXA)</t>
  </si>
  <si>
    <t xml:space="preserve"> 00043462 </t>
  </si>
  <si>
    <t>FERRAMENTAS - FAMILIA ENGENHEIRO CIVIL - HORISTA (ENCARGOS COMPLEMENTARES - COLETADO CAIXA)</t>
  </si>
  <si>
    <t xml:space="preserve"> 158 </t>
  </si>
  <si>
    <t>Almoço (Participação do empregador)</t>
  </si>
  <si>
    <t xml:space="preserve"> 941 </t>
  </si>
  <si>
    <t>Fardamento com mangas curta</t>
  </si>
  <si>
    <t xml:space="preserve"> 1651 </t>
  </si>
  <si>
    <t>Óculos branco proteção</t>
  </si>
  <si>
    <t>pr</t>
  </si>
  <si>
    <t xml:space="preserve"> 2378 </t>
  </si>
  <si>
    <t>Vale transporte</t>
  </si>
  <si>
    <t xml:space="preserve"> 4174 </t>
  </si>
  <si>
    <t>Desempenadeira de aço lisa, cabo madeira, ref:143, Atlas ou similar</t>
  </si>
  <si>
    <t xml:space="preserve"> 4722 </t>
  </si>
  <si>
    <t>Colher de pedreiro</t>
  </si>
  <si>
    <t xml:space="preserve"> 10282 </t>
  </si>
  <si>
    <t>Regua de alumínio c/ 2,00m (para pedreiro)</t>
  </si>
  <si>
    <t xml:space="preserve"> 10362 </t>
  </si>
  <si>
    <t>Seguro de vida e acidente em grupo</t>
  </si>
  <si>
    <t xml:space="preserve"> 10492 </t>
  </si>
  <si>
    <t>Cesta Básica</t>
  </si>
  <si>
    <t xml:space="preserve"> 10517 </t>
  </si>
  <si>
    <t>Exames admissionais/demissionais (checkup)</t>
  </si>
  <si>
    <t>cj</t>
  </si>
  <si>
    <t xml:space="preserve"> 10596 </t>
  </si>
  <si>
    <t>Protetor auricular</t>
  </si>
  <si>
    <t xml:space="preserve"> 10599 </t>
  </si>
  <si>
    <t>Protetor solar fps 30 com 120ml</t>
  </si>
  <si>
    <t xml:space="preserve"> 10789 </t>
  </si>
  <si>
    <t>Nível de bolha de madeira</t>
  </si>
  <si>
    <t xml:space="preserve"> 10761 </t>
  </si>
  <si>
    <t>Refeição - café da manhã ( café com leite e dois pães com manteiga)</t>
  </si>
  <si>
    <t xml:space="preserve"> 10790 </t>
  </si>
  <si>
    <t>Prumo de face</t>
  </si>
  <si>
    <t xml:space="preserve"> 11247 </t>
  </si>
  <si>
    <t>Serra mármore Serra marmore</t>
  </si>
  <si>
    <t xml:space="preserve"> 11243 </t>
  </si>
  <si>
    <t>Martelo sem unha</t>
  </si>
  <si>
    <t xml:space="preserve"> 11246 </t>
  </si>
  <si>
    <t>Escala métrica de bambú</t>
  </si>
  <si>
    <t>Un</t>
  </si>
  <si>
    <t xml:space="preserve"> 11265 </t>
  </si>
  <si>
    <t>Martelo de borracha com cabo</t>
  </si>
  <si>
    <t xml:space="preserve"> 11245 </t>
  </si>
  <si>
    <t>Desempoladeira de madeira 12x22</t>
  </si>
  <si>
    <t xml:space="preserve"> 11264 </t>
  </si>
  <si>
    <t>Marreta de 1/2 kg com cabo</t>
  </si>
  <si>
    <t xml:space="preserve"> 00012893 </t>
  </si>
  <si>
    <t>BOTA DE SEGURANCA COM BIQUEIRA DE ACO E COLARINHO ACOLCHOADO</t>
  </si>
  <si>
    <t>PAR</t>
  </si>
  <si>
    <t xml:space="preserve"> 00012894 </t>
  </si>
  <si>
    <t>CAPA PARA CHUVA EM PVC COM FORRO DE POLIESTER, COM CAPUZ (AMARELA OU AZUL)</t>
  </si>
  <si>
    <t xml:space="preserve"> 00012895 </t>
  </si>
  <si>
    <t>CAPACETE DE SEGURANCA ABA FRONTAL COM SUSPENSAO DE POLIETILENO, SEM JUGULAR (CLASSE B)</t>
  </si>
  <si>
    <t xml:space="preserve"> 00012892 </t>
  </si>
  <si>
    <t>LUVA RASPA DE COURO, CANO CURTO (PUNHO *7* CM)</t>
  </si>
  <si>
    <t xml:space="preserve"> 4729 </t>
  </si>
  <si>
    <t>Marreta 1 kg com cabo</t>
  </si>
  <si>
    <t xml:space="preserve"> 4728 </t>
  </si>
  <si>
    <t>Talhadeira chata 10" Talhadeira chara 10"</t>
  </si>
  <si>
    <t xml:space="preserve"> 10788 </t>
  </si>
  <si>
    <t>Pá quadrada</t>
  </si>
  <si>
    <t xml:space="preserve"> 00002711 </t>
  </si>
  <si>
    <t>CARRINHO DE MAO DE ACO CAPACIDADE 50 A 60 L, PNEU COM CAMARA</t>
  </si>
  <si>
    <t xml:space="preserve"> 00043487 </t>
  </si>
  <si>
    <t>EPI - FAMILIA ENCARREGADO GERAL - HORISTA (ENCARGOS COMPLEMENTARES - COLETADO CAIXA)</t>
  </si>
  <si>
    <t xml:space="preserve"> 00043463 </t>
  </si>
  <si>
    <t>FERRAMENTAS - FAMILIA ENCARREGADO GERAL - HORISTA (ENCARGOS COMPLEMENTARES - COLETADO CAIXA)</t>
  </si>
  <si>
    <t xml:space="preserve"> 00043488 </t>
  </si>
  <si>
    <t>EPI - FAMILIA OPERADOR ESCAVADEIRA - HORISTA (ENCARGOS COMPLEMENTARES - COLETADO CAIXA)</t>
  </si>
  <si>
    <t xml:space="preserve"> 00043464 </t>
  </si>
  <si>
    <t>FERRAMENTAS - FAMILIA OPERADOR ESCAVADEIRA - HORISTA (ENCARGOS COMPLEMENTARES - COLETADO CAIXA)</t>
  </si>
  <si>
    <t xml:space="preserve"> 00043491 </t>
  </si>
  <si>
    <t>EPI - FAMILIA SERVENTE - HORISTA (ENCARGOS COMPLEMENTARES - COLETADO CAIXA)</t>
  </si>
  <si>
    <t xml:space="preserve"> 00043467 </t>
  </si>
  <si>
    <t>FERRAMENTAS - FAMILIA SERVENTE - HORISTA (ENCARGOS COMPLEMENTARES - COLETADO CAIXA)</t>
  </si>
  <si>
    <t>A</t>
  </si>
  <si>
    <t>Equipamentos</t>
  </si>
  <si>
    <t>Quantidade</t>
  </si>
  <si>
    <t>Utilização</t>
  </si>
  <si>
    <t>Custo Operacional</t>
  </si>
  <si>
    <t>Custo Horário</t>
  </si>
  <si>
    <t>Operativa</t>
  </si>
  <si>
    <t>Improdutiva</t>
  </si>
  <si>
    <t>E9666</t>
  </si>
  <si>
    <t>Cavalo mecânico com semirreboque com capacidade de 30 t - 265 kW</t>
  </si>
  <si>
    <t>Custo Horário de Equipamentos =&gt;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</si>
  <si>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</si>
  <si>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</si>
  <si>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</si>
  <si>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</si>
  <si>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</si>
  <si>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 xml:space="preserve">Objeto: Execução de serviço comum de engenharia de recapeamento asfáltico em CBUQ, em vias urbanas e rurais dos munícipios da área de atuação da 6ª Superintendência Regional da Codevasf, no Estado da Bahia. </t>
  </si>
  <si>
    <t xml:space="preserve">Ministério do Desenvolvimento Regional - MDR                                                       Companhia de Desenvolvimento dos Vales do São Francisco e do Parnaíba                                                 6ªGRD/UEP - 6ª Superintendência Regional </t>
  </si>
  <si>
    <t>BASE DE DADOS: http://www.distanciasentrecidades.com/distancias-candeias-bahia</t>
  </si>
  <si>
    <t>Cidade</t>
  </si>
  <si>
    <t>DIST (KM)</t>
  </si>
  <si>
    <t>Abaré</t>
  </si>
  <si>
    <t>Acajutiba</t>
  </si>
  <si>
    <t>Adustina</t>
  </si>
  <si>
    <t>Água Fria</t>
  </si>
  <si>
    <t>Andorinha</t>
  </si>
  <si>
    <t>Alagoinhas</t>
  </si>
  <si>
    <t>Antas</t>
  </si>
  <si>
    <t>Amargosa</t>
  </si>
  <si>
    <t>Antônio Gonçalves</t>
  </si>
  <si>
    <t>Amélia Rodrigues</t>
  </si>
  <si>
    <t>Araci</t>
  </si>
  <si>
    <t>Anguera</t>
  </si>
  <si>
    <t>Caém</t>
  </si>
  <si>
    <t>Antônio Cardoso</t>
  </si>
  <si>
    <t>Caldeirão Grande</t>
  </si>
  <si>
    <t>Aporá</t>
  </si>
  <si>
    <t>Campo Alegre de Lourdes</t>
  </si>
  <si>
    <t>Araçás</t>
  </si>
  <si>
    <t>Campo Formoso</t>
  </si>
  <si>
    <t>Aramari</t>
  </si>
  <si>
    <t>Cansanção</t>
  </si>
  <si>
    <t>Aratuípe</t>
  </si>
  <si>
    <t>Canudos</t>
  </si>
  <si>
    <t>Baixa Grande</t>
  </si>
  <si>
    <t>Capela do Alto Alegre</t>
  </si>
  <si>
    <t>Banzaê</t>
  </si>
  <si>
    <t>Capim Grosso</t>
  </si>
  <si>
    <t>Barrocas</t>
  </si>
  <si>
    <t>Casa Nova</t>
  </si>
  <si>
    <t>Biritinga</t>
  </si>
  <si>
    <t>Chorrochó</t>
  </si>
  <si>
    <t>Boa Vista do Tupim</t>
  </si>
  <si>
    <t>Cícero Dantas</t>
  </si>
  <si>
    <t>Brejões</t>
  </si>
  <si>
    <t>Conceição do Coité</t>
  </si>
  <si>
    <t>Cabaceiras do Paraguaçu</t>
  </si>
  <si>
    <t>Coronel João Sá</t>
  </si>
  <si>
    <t>Cachoeira</t>
  </si>
  <si>
    <t>Curaçá</t>
  </si>
  <si>
    <t>Cairu</t>
  </si>
  <si>
    <t>Euclides da Cunha</t>
  </si>
  <si>
    <t>Camaçari</t>
  </si>
  <si>
    <t>Fátima</t>
  </si>
  <si>
    <t>Camamu</t>
  </si>
  <si>
    <t>Filadélfia</t>
  </si>
  <si>
    <t>Candeal</t>
  </si>
  <si>
    <t>Gavião</t>
  </si>
  <si>
    <t>Candeias</t>
  </si>
  <si>
    <t>Glória</t>
  </si>
  <si>
    <t>Cardeal da Silva</t>
  </si>
  <si>
    <t>Itiúba</t>
  </si>
  <si>
    <t>Castro Alves</t>
  </si>
  <si>
    <t>Jacobina</t>
  </si>
  <si>
    <t>Catu</t>
  </si>
  <si>
    <t>Jaguarari</t>
  </si>
  <si>
    <t>Cipó</t>
  </si>
  <si>
    <t>Jeremoabo</t>
  </si>
  <si>
    <t>Conceição da Feira</t>
  </si>
  <si>
    <t>Juazeiro</t>
  </si>
  <si>
    <t>Conceição do Almeida</t>
  </si>
  <si>
    <t>Macururé</t>
  </si>
  <si>
    <t>Conceição do Jacuípe</t>
  </si>
  <si>
    <t>Mairi</t>
  </si>
  <si>
    <t>Conde</t>
  </si>
  <si>
    <t>Miguel Calmon</t>
  </si>
  <si>
    <t>Coração de Maria</t>
  </si>
  <si>
    <t>Mirangaba</t>
  </si>
  <si>
    <t>Cravolândia</t>
  </si>
  <si>
    <t>Monte Santo</t>
  </si>
  <si>
    <t>Crisópolis</t>
  </si>
  <si>
    <t>Mundo Novo</t>
  </si>
  <si>
    <t>Cruz das Almas</t>
  </si>
  <si>
    <t>Nordestina</t>
  </si>
  <si>
    <t>Dias d'Ávila</t>
  </si>
  <si>
    <t>Nova Fátima</t>
  </si>
  <si>
    <t>Dom Macedo Costa</t>
  </si>
  <si>
    <t>Novo Triunfo</t>
  </si>
  <si>
    <t>Elísio Medrado</t>
  </si>
  <si>
    <t>Ourolândia</t>
  </si>
  <si>
    <t>Entre Rios</t>
  </si>
  <si>
    <t>Paripiranga</t>
  </si>
  <si>
    <t>Esplanada</t>
  </si>
  <si>
    <t>Paulo Afonso</t>
  </si>
  <si>
    <t>Feira de Santana</t>
  </si>
  <si>
    <t>Pé de Serra</t>
  </si>
  <si>
    <t>Gandu</t>
  </si>
  <si>
    <t>Pedro Alexandre</t>
  </si>
  <si>
    <t>Governador Mangabeira</t>
  </si>
  <si>
    <t>Pilão Arcado</t>
  </si>
  <si>
    <t>Heliópolis</t>
  </si>
  <si>
    <t>Pindobaçu</t>
  </si>
  <si>
    <t>Iaçu</t>
  </si>
  <si>
    <t>Piritiba</t>
  </si>
  <si>
    <t>Ibiquera</t>
  </si>
  <si>
    <t>Ponto Novo</t>
  </si>
  <si>
    <t>Ichu</t>
  </si>
  <si>
    <t>Queimadas</t>
  </si>
  <si>
    <t>Igrapiúna</t>
  </si>
  <si>
    <t>Quijingue</t>
  </si>
  <si>
    <t>Inhambupe</t>
  </si>
  <si>
    <t>Quixabeira</t>
  </si>
  <si>
    <t>Ipecaetá</t>
  </si>
  <si>
    <t>Remanso</t>
  </si>
  <si>
    <t>Ipirá</t>
  </si>
  <si>
    <t>Retirolândia</t>
  </si>
  <si>
    <t>Irajuba</t>
  </si>
  <si>
    <t>Riachão do Jacuípe</t>
  </si>
  <si>
    <t>Irará</t>
  </si>
  <si>
    <t>Rodelas</t>
  </si>
  <si>
    <t>Itaberaba</t>
  </si>
  <si>
    <t>Santa Brígida</t>
  </si>
  <si>
    <t>Itaeté</t>
  </si>
  <si>
    <t>Santaluz</t>
  </si>
  <si>
    <t>Itanagra</t>
  </si>
  <si>
    <t>São Domingos</t>
  </si>
  <si>
    <t>Itaparica</t>
  </si>
  <si>
    <t>São José do Jacuípe</t>
  </si>
  <si>
    <t>Itapicuru</t>
  </si>
  <si>
    <t>Saúde</t>
  </si>
  <si>
    <t>Itaquara</t>
  </si>
  <si>
    <t>Senhor do Bonfim</t>
  </si>
  <si>
    <t>Itatim</t>
  </si>
  <si>
    <t>Sento Sé</t>
  </si>
  <si>
    <t>Itiruçu</t>
  </si>
  <si>
    <t>Serrolândia</t>
  </si>
  <si>
    <t>Ituberá</t>
  </si>
  <si>
    <t>Sítio do Quinto</t>
  </si>
  <si>
    <t>Jaguaquara</t>
  </si>
  <si>
    <t>Sobradinho</t>
  </si>
  <si>
    <t>Jaguaripe</t>
  </si>
  <si>
    <t>Tapiramutá</t>
  </si>
  <si>
    <t>Jandaíra</t>
  </si>
  <si>
    <t>Uauá</t>
  </si>
  <si>
    <t>Jiquiriçá</t>
  </si>
  <si>
    <t>Umburanas</t>
  </si>
  <si>
    <t>Laje</t>
  </si>
  <si>
    <t>Utinga</t>
  </si>
  <si>
    <t>Lajedinho</t>
  </si>
  <si>
    <t>Valente</t>
  </si>
  <si>
    <t>Lajedo do Tabocal</t>
  </si>
  <si>
    <t>Várzea da Roça</t>
  </si>
  <si>
    <t>Lamarão</t>
  </si>
  <si>
    <t>Várzea do Poço</t>
  </si>
  <si>
    <t>Lauro de Freitas</t>
  </si>
  <si>
    <t>Várzea Nova</t>
  </si>
  <si>
    <t>Macajuba</t>
  </si>
  <si>
    <t>Madre de Deus</t>
  </si>
  <si>
    <t>Maragogipe</t>
  </si>
  <si>
    <t>Marcionílio Souza</t>
  </si>
  <si>
    <t>Mata de São João</t>
  </si>
  <si>
    <t>Milagres</t>
  </si>
  <si>
    <t>Muniz Ferreira</t>
  </si>
  <si>
    <t>Muritiba</t>
  </si>
  <si>
    <t>Mutuípe</t>
  </si>
  <si>
    <t>Nazaré</t>
  </si>
  <si>
    <t>Nilo Peçanha</t>
  </si>
  <si>
    <t>Nova Itarana</t>
  </si>
  <si>
    <t>Nova Redenção</t>
  </si>
  <si>
    <t>Nova Soure</t>
  </si>
  <si>
    <t>Olindina</t>
  </si>
  <si>
    <t>Ouriçangas</t>
  </si>
  <si>
    <t>Pedrão</t>
  </si>
  <si>
    <t>Pintadas</t>
  </si>
  <si>
    <t>Piraí do Norte</t>
  </si>
  <si>
    <t>Pojuca</t>
  </si>
  <si>
    <t>Presidente Tancredo Neves</t>
  </si>
  <si>
    <t>Rafael Jambeiro</t>
  </si>
  <si>
    <t>Ribeira do Amparo</t>
  </si>
  <si>
    <t>Ribeira do Pombal</t>
  </si>
  <si>
    <t>Rio Real</t>
  </si>
  <si>
    <t>Ruy Barbosa</t>
  </si>
  <si>
    <t>Salinas da Margarida</t>
  </si>
  <si>
    <t>Santa Bárbara</t>
  </si>
  <si>
    <t>Santa Inês</t>
  </si>
  <si>
    <t>Santa Terezinha</t>
  </si>
  <si>
    <t>Santanópolis</t>
  </si>
  <si>
    <t>Santo Amaro</t>
  </si>
  <si>
    <t>Santo Antônio de Jesus</t>
  </si>
  <si>
    <t>Santo Estêvão</t>
  </si>
  <si>
    <t>São Felipe</t>
  </si>
  <si>
    <t>São Félix</t>
  </si>
  <si>
    <t>São Francisco do Conde</t>
  </si>
  <si>
    <t>São Gonçalo dos Campos</t>
  </si>
  <si>
    <t>São Miguel das Matas</t>
  </si>
  <si>
    <t>São Sebastião do Passé</t>
  </si>
  <si>
    <t>Sapeaçu</t>
  </si>
  <si>
    <t>Sátiro Dias</t>
  </si>
  <si>
    <t>Saubara</t>
  </si>
  <si>
    <t>Serra Preta</t>
  </si>
  <si>
    <t>Serrinha</t>
  </si>
  <si>
    <t>Simões Filho</t>
  </si>
  <si>
    <t>Tanquinho</t>
  </si>
  <si>
    <t>Taperoá</t>
  </si>
  <si>
    <t>Teodoro Sampaio</t>
  </si>
  <si>
    <t>Teofilândia</t>
  </si>
  <si>
    <t>Teolândia</t>
  </si>
  <si>
    <t>Terra Nova</t>
  </si>
  <si>
    <t>Tucano</t>
  </si>
  <si>
    <t>Ubaíra</t>
  </si>
  <si>
    <t>Valença</t>
  </si>
  <si>
    <t>Varzedo</t>
  </si>
  <si>
    <t>Vera Cruz</t>
  </si>
  <si>
    <t>Wagner</t>
  </si>
  <si>
    <t>Wenceslau Guimarães</t>
  </si>
  <si>
    <t>VALOR TOTAL (R$)</t>
  </si>
  <si>
    <t>ÁREA TOTAL (m²)</t>
  </si>
  <si>
    <t>VALOR POR METRO QUADRADO</t>
  </si>
  <si>
    <t>t/m2</t>
  </si>
  <si>
    <t>Peso em toneladas do CBUQ</t>
  </si>
  <si>
    <t xml:space="preserve">Emulsão asfaltica - RR-1C =&gt; 0,00045 t / m2 </t>
  </si>
  <si>
    <t>Aquisição de emulsão asfáltica RR-1C com ICMS de 18% (Pintura Ligação)</t>
  </si>
  <si>
    <t>1.2</t>
  </si>
  <si>
    <t>1.1</t>
  </si>
  <si>
    <t xml:space="preserve"> 1.2.3 </t>
  </si>
  <si>
    <t xml:space="preserve"> 1.2.4 </t>
  </si>
  <si>
    <t>1.3.1</t>
  </si>
  <si>
    <t>1.3.2</t>
  </si>
  <si>
    <t>RR-1C</t>
  </si>
  <si>
    <t>CAP 50/70</t>
  </si>
  <si>
    <t>Kg</t>
  </si>
  <si>
    <t>Aquisição de CAP 50/70 com ICMS de 18% (recapeamento e reperfilamento)</t>
  </si>
  <si>
    <t>Aquisição de emulsão asfáltica RR-1C com ICMS de 18%</t>
  </si>
  <si>
    <t>APLICAÇÃO DE PINTURA DE LIGACAO COM EMULSAO RR-1C</t>
  </si>
  <si>
    <t>Módulo padrão: Via com 6,5 m de largura e 2.000m de extensão</t>
  </si>
  <si>
    <t>APLICAÇÃO DE CONCRETO ASFÁLTICO, CAMADA DE REPERFILAMENTO - TIPO "C" COM ESP = 2,00 CM</t>
  </si>
  <si>
    <t>APLICAÇÃO DE CONCRETO ASFÁLTICO, CAMADA DE ROLAMENTO - TIPO "C" COM ESP = 3,00 CM</t>
  </si>
  <si>
    <t>Quantidade de CBUQ para Reperfilamento</t>
  </si>
  <si>
    <t>Quantidade de CBUQ para Recapeamento</t>
  </si>
  <si>
    <t>txKm</t>
  </si>
  <si>
    <t>Areia (retirado da composição da usinagem)</t>
  </si>
  <si>
    <t>Brita 0 (retirado da composição da usinagem)</t>
  </si>
  <si>
    <t>Brita 1 (retirado da composição da usinagem)</t>
  </si>
  <si>
    <t>Cal Hidratada (retirado da composição da usinagem)</t>
  </si>
  <si>
    <t>Transporte com caminhão carroceria de 15 t - rodovia pavimentada (cal hidratada)</t>
  </si>
  <si>
    <t>Via com 6,50 m de largura e 2.000 m de extensão (Largura = 7 - 0,25*2 lados da sarjeta)</t>
  </si>
  <si>
    <t>Volume de CBUQ da Via com 6,5 m de largura x 2.000 m de extensão x 0,02 m Espessura do reperfilamento</t>
  </si>
  <si>
    <t>Volume de CBUQ da Via com 6,5 m de largura x 2.000 m de extensão x 0,03 m Espessura do recapeamento</t>
  </si>
  <si>
    <t>t / t de CBUQ</t>
  </si>
  <si>
    <t>Aquisição de cimentos asfálticos CAP 50/70 com ICMS de 18%</t>
  </si>
  <si>
    <t xml:space="preserve"> ANP 005 </t>
  </si>
  <si>
    <t xml:space="preserve">Salvador </t>
  </si>
  <si>
    <t>MÉDIA =&gt;</t>
  </si>
  <si>
    <t>Aquisição dos Materiais =&gt; (valor do material (tabela ANP)/0,82)+BDI de 15,00%</t>
  </si>
  <si>
    <t>Banco: ANP - 06/2022</t>
  </si>
  <si>
    <t>RESUMO</t>
  </si>
  <si>
    <t>OBJETO</t>
  </si>
  <si>
    <t>74209/001</t>
  </si>
  <si>
    <t>Complemento de altura:</t>
  </si>
  <si>
    <t>Quantidade de poços de visitas a serem reparados: (2000 m / 100m)</t>
  </si>
  <si>
    <t xml:space="preserve"> ANP 004 </t>
  </si>
  <si>
    <t>Transporte com caminhão basculante de 10 m³ - rodovia em revestimento primário</t>
  </si>
  <si>
    <t>Transporte com caminhão basculante de 10 m³ - rodovia pavimentada</t>
  </si>
  <si>
    <t>Transporte com caminhão carroceria de 15 t - rodovia pavimentada</t>
  </si>
  <si>
    <t>Transporte com caminhão carroceria de 15 t - rodovia em revestimento primário</t>
  </si>
  <si>
    <t>Limpeza de ruas (varrição e remoção de entulhos)</t>
  </si>
  <si>
    <t xml:space="preserve"> 74209/001 </t>
  </si>
  <si>
    <t>PLACA DE OBRA EM CHAPA DE ACO GALVANIZADO</t>
  </si>
  <si>
    <t xml:space="preserve"> 94962 </t>
  </si>
  <si>
    <t>CONCRETO MAGRO PARA LASTRO, TRAÇO 1:4,5:4,5 (EM MASSA SECA DE CIMENTO/ AREIA MÉDIA/ BRITA 1) - PREPARO MECÂNICO COM BETONEIRA 400 L. AF_05/2021</t>
  </si>
  <si>
    <t>FUES - FUNDAÇÕES E ESTRUTURAS</t>
  </si>
  <si>
    <t xml:space="preserve"> 00004491 </t>
  </si>
  <si>
    <t>PONTALETE *7,5 X 7,5* CM EM PINUS, MISTA OU EQUIVALENTE DA REGIAO - BRUTA</t>
  </si>
  <si>
    <t xml:space="preserve"> 00004417 </t>
  </si>
  <si>
    <t>SARRAFO NAO APARELHADO *2,5 X 7* CM, EM MACARANDUBA, ANGELIM OU EQUIVALENTE DA REGIAO -  BRUTA</t>
  </si>
  <si>
    <t>ASTU - ASSENTAMENTO DE TUBOS E PECAS</t>
  </si>
  <si>
    <t xml:space="preserve"> ANP 03 </t>
  </si>
  <si>
    <t xml:space="preserve"> ANP 04 </t>
  </si>
  <si>
    <t>Aquisição de Cimentos Asfálticos CAP-50-70 com ICMS de 18%</t>
  </si>
  <si>
    <t xml:space="preserve"> 1.3.4 </t>
  </si>
  <si>
    <t xml:space="preserve"> 4011353 </t>
  </si>
  <si>
    <t>Pintura de ligação</t>
  </si>
  <si>
    <t>E9509</t>
  </si>
  <si>
    <t>Caminhão tanque distribuidor de asfalto com capacidade de 6.000 l - 7 kW/136 kW</t>
  </si>
  <si>
    <t>E9558</t>
  </si>
  <si>
    <t>Tanque de estocagem de asfalto com capacidade de 30.000 l</t>
  </si>
  <si>
    <t>B</t>
  </si>
  <si>
    <t>Salário Hora</t>
  </si>
  <si>
    <t>P9824</t>
  </si>
  <si>
    <t>Servente</t>
  </si>
  <si>
    <t>Custo Horário da Mão de Obra =&gt;</t>
  </si>
  <si>
    <t>Adc.M.O. - Ferramentas (0,0%) =&gt;</t>
  </si>
  <si>
    <t xml:space="preserve"> 4011463 </t>
  </si>
  <si>
    <t>Concreto asfáltico - faixa C - areia e brita comerciais para reperfilamento</t>
  </si>
  <si>
    <t>E9762</t>
  </si>
  <si>
    <t>Rolo compactador de pneus autopropelido de 27 t - 85 kW</t>
  </si>
  <si>
    <t>E9681</t>
  </si>
  <si>
    <t>Rolo compactador liso tandem vibratório autopropelido de 10,4 t - 82 kW</t>
  </si>
  <si>
    <t>E9545</t>
  </si>
  <si>
    <t>Vibroacabadora de asfalto sobre esteiras - 82 kW</t>
  </si>
  <si>
    <t>D</t>
  </si>
  <si>
    <t>Atividades Auxiliares</t>
  </si>
  <si>
    <t>Unidade</t>
  </si>
  <si>
    <t>Preço Unitário</t>
  </si>
  <si>
    <t>Atividade Auxiliar</t>
  </si>
  <si>
    <t>Usinagem de concreto asfáltico - faixa C - areia e brita comerciais</t>
  </si>
  <si>
    <t>Custo Total das Atividades =&gt;</t>
  </si>
  <si>
    <t>E</t>
  </si>
  <si>
    <t>Tempos Fixos</t>
  </si>
  <si>
    <t>Tempo Fixo</t>
  </si>
  <si>
    <t>Carga, manobra e descarga de mistura betuminosa a quente em caminhão basculante de 10 m³ - carga em usina de asfalto100/140 t/h e descarga em vibroacabadora</t>
  </si>
  <si>
    <t>Custo Total dos Tempos Fixos =&gt;</t>
  </si>
  <si>
    <t>F</t>
  </si>
  <si>
    <t>Momento de Transporte</t>
  </si>
  <si>
    <t>Distância Média de Transporte (DMT)</t>
  </si>
  <si>
    <t>LN</t>
  </si>
  <si>
    <t>RP</t>
  </si>
  <si>
    <t>P</t>
  </si>
  <si>
    <t>Usinagem de concreto asfáltico - faixa C - areia e brita comerciais - Caminhão basculante com capacidade de 10 m³ - 188 kW</t>
  </si>
  <si>
    <t>5914359
0,000
R$  1,19</t>
  </si>
  <si>
    <t>5914374
0,000
R$  0,95</t>
  </si>
  <si>
    <t>5914389
0,000
R$  0,78</t>
  </si>
  <si>
    <t>Custo total dos Momentos de Transportes =&gt;</t>
  </si>
  <si>
    <t xml:space="preserve"> 1.4.4 </t>
  </si>
  <si>
    <t xml:space="preserve"> 5914374 </t>
  </si>
  <si>
    <t>E9579</t>
  </si>
  <si>
    <t>Caminhão basculante com capacidade de 10 m³ - 188 kW</t>
  </si>
  <si>
    <t xml:space="preserve"> 1.4.5 </t>
  </si>
  <si>
    <t xml:space="preserve"> 5914389 </t>
  </si>
  <si>
    <t xml:space="preserve"> 5914479 </t>
  </si>
  <si>
    <t>E9592</t>
  </si>
  <si>
    <t>Caminhão carroceria com capacidade de 15 t - 188 kW</t>
  </si>
  <si>
    <t xml:space="preserve"> 5914464 </t>
  </si>
  <si>
    <t xml:space="preserve"> 6191 </t>
  </si>
  <si>
    <t xml:space="preserve"> 5073 </t>
  </si>
  <si>
    <t>Transporte local com caminhão basculante de 10m³, em rodovia pavimentada (conservação) densidade=1,5t/m³</t>
  </si>
  <si>
    <t>Transportes</t>
  </si>
  <si>
    <t xml:space="preserve"> 5914647 </t>
  </si>
  <si>
    <t>Carga, manobra e descarga de agregados ou solos em caminhão basculante de 10 m³ - carga com carregadeira de 3,40 m³(exclusa) e descarga livre</t>
  </si>
  <si>
    <t xml:space="preserve"> 5914649 </t>
  </si>
  <si>
    <t xml:space="preserve"> 00004721 </t>
  </si>
  <si>
    <t>PEDRA BRITADA N. 1 (9,5 a 19 MM) POSTO PEDREIRA/FORNECEDOR, SEM FRETE</t>
  </si>
  <si>
    <t xml:space="preserve"> 5914363 </t>
  </si>
  <si>
    <t>Carga, manobra e descarga de cimento ou cal hidratada a granel em caminhão silo de 30 m³</t>
  </si>
  <si>
    <t>E9146</t>
  </si>
  <si>
    <t>Caminhão silo com capacidade de 30 m³ - 265 kW</t>
  </si>
  <si>
    <t xml:space="preserve"> 5914359 </t>
  </si>
  <si>
    <t>Transporte com caminhão basculante de 10 m³ - rodovia em leito natural</t>
  </si>
  <si>
    <t xml:space="preserve"> 5914364 </t>
  </si>
  <si>
    <t>Transporte de cimento ou cal hidratada a granel com caminhão silo de 30 m³ - rodovia em leito natural</t>
  </si>
  <si>
    <t xml:space="preserve"> 5914365 </t>
  </si>
  <si>
    <t>Transporte de cimento ou cal hidratada a granel com caminhão silo de 30 m³ - rodovia em revestimento primário</t>
  </si>
  <si>
    <t xml:space="preserve"> 2450 </t>
  </si>
  <si>
    <t>Caminhão basc. 15,0t/10,0m3 ( m. benz lk 1418 -170,0kw ou equivalente) h</t>
  </si>
  <si>
    <t xml:space="preserve"> 6416078 </t>
  </si>
  <si>
    <t>E9559</t>
  </si>
  <si>
    <t>Aquecedor de fluido térmico - 12 kW</t>
  </si>
  <si>
    <t>E9584</t>
  </si>
  <si>
    <t>Carregadeira de pneus com capacidade de 1,72 m³ - 113 kW</t>
  </si>
  <si>
    <t>E9021</t>
  </si>
  <si>
    <t>Grupo gerador - 456 kVA</t>
  </si>
  <si>
    <t>E9689</t>
  </si>
  <si>
    <t>Usina de asfalto a quente gravimétrica com capacidade de 100/140 t/h - 260 kW</t>
  </si>
  <si>
    <t>C</t>
  </si>
  <si>
    <t>M0028</t>
  </si>
  <si>
    <t>Areia média</t>
  </si>
  <si>
    <t>M0005</t>
  </si>
  <si>
    <t>Brita 0</t>
  </si>
  <si>
    <t>M0191</t>
  </si>
  <si>
    <t>Brita 1</t>
  </si>
  <si>
    <t>M0344</t>
  </si>
  <si>
    <t>Cal hidratada - a granel</t>
  </si>
  <si>
    <t>kg</t>
  </si>
  <si>
    <t>M1941</t>
  </si>
  <si>
    <t>Óleo tipo A1</t>
  </si>
  <si>
    <t>l</t>
  </si>
  <si>
    <t>M1103</t>
  </si>
  <si>
    <t>Pedrisco</t>
  </si>
  <si>
    <t>Custo Total do Material =&gt;</t>
  </si>
  <si>
    <t>Areia média - Caminhão basculante com capacidade de 10 m³ - 188 kW</t>
  </si>
  <si>
    <t>Brita 0 - Caminhão basculante com capacidade de 10 m³ - 188 kW</t>
  </si>
  <si>
    <t>Brita 1 - Caminhão basculante com capacidade de 10 m³ - 188 kW</t>
  </si>
  <si>
    <t>Cal hidratada - a granel - Caminhão silo com capacidade de 30 m³ - 265 kW</t>
  </si>
  <si>
    <t>5914364
0,000
R$  0,93</t>
  </si>
  <si>
    <t>5914365
0,000
R$  0,75</t>
  </si>
  <si>
    <t>Pedrisco - Caminhão basculante com capacidade de 10 m³ - 188 kW</t>
  </si>
  <si>
    <t>Pesso especifico do CBUQ (BASE DNIT)</t>
  </si>
  <si>
    <t>Peso do CAP 50/70 no CBUQ p/tonelada de CBUQ (composição)</t>
  </si>
  <si>
    <t>Volume para transporte</t>
  </si>
  <si>
    <t>Modulo =&gt;</t>
  </si>
  <si>
    <t>Largura</t>
  </si>
  <si>
    <t>Comp.</t>
  </si>
  <si>
    <t>Recapeamento =&gt;</t>
  </si>
  <si>
    <t>Comp. =&gt;</t>
  </si>
  <si>
    <t>QUANT. =&gt;</t>
  </si>
  <si>
    <t>Comp. Em Km =&gt;</t>
  </si>
  <si>
    <t>Medidas da placa: h = 1,80m , c =3,60m = área = 3,6 x 1,8 = 6,48 m2</t>
  </si>
  <si>
    <t>Pedrisco (retirado da composição da usinagem)</t>
  </si>
  <si>
    <t>Área</t>
  </si>
  <si>
    <t xml:space="preserve">Estimativa por modulo </t>
  </si>
  <si>
    <t xml:space="preserve">SINAPI - 08/2022 - Bahia
SICRO3 - 04/2022 - Bahia
ORSE - 08/2022 - Sergipe
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</si>
  <si>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</si>
  <si>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</si>
  <si>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</si>
  <si>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</si>
  <si>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</si>
  <si>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</si>
  <si>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</si>
  <si>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</si>
  <si>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</si>
  <si>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</si>
  <si>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</si>
  <si>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</si>
  <si>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</si>
  <si>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Porcentagem</t>
  </si>
  <si>
    <t>Custo</t>
  </si>
  <si>
    <t>Porcentagem Acumulado</t>
  </si>
  <si>
    <t>Custo Acumulado</t>
  </si>
  <si>
    <t>ADMINISTRAÇÃO LOCAL DE OBRA</t>
  </si>
  <si>
    <t>SINAPI - 08/2022 - Bahia
SICRO3 - 04/2022 - Bahia
ORSE - 08/2022 - Sergipe</t>
  </si>
  <si>
    <t>CAPA ASFÁLTICA EM CBUQ</t>
  </si>
  <si>
    <t>Cronograma Físico e Financeiro - LOTE 01</t>
  </si>
  <si>
    <t>EXECUÇÃO DE CAPA ASFÁLTICA EM CONCRETO BETUMINOSO USINADO A QUENTE (CBUQ).</t>
  </si>
  <si>
    <t>Transporte com caminhão basculante de 10 m³ - rodovia em revestimento primário  (areia, brita e pedrisco)</t>
  </si>
  <si>
    <t>Transporte com caminhão basculante de 10 m³ - rodovia pavimentada  (areia, brita e pedrisco)</t>
  </si>
  <si>
    <t>Transporte com caminhão carroceria de 15 t - rodovia em revestimento primário (cal hidratada)</t>
  </si>
  <si>
    <t>Transporte com caminhão basculante de 10 m³ - rodovia em revestimento primário  (CBUQ)</t>
  </si>
  <si>
    <t>Transporte com caminhão basculante de 10 m³ - rodovia pavimentada  (CBUQ)</t>
  </si>
  <si>
    <t>Volume de CBUQ Produzido</t>
  </si>
  <si>
    <t xml:space="preserve">Objeto: EXECUÇÃO DE CAPA ASFÁLTICA EM CONCRETO BETUMINOSO USINADO A QUENTE (CBUQ). </t>
  </si>
  <si>
    <t>DISTÂNCIAS DA DISTRIBUIDORA DE ASFALTO</t>
  </si>
  <si>
    <t>LOTE 01</t>
  </si>
  <si>
    <t>Orçamento Sintético</t>
  </si>
  <si>
    <t>EXECUÇÃO DE CAPA ASFÁLTICA EM CONCRETO BETUMINOSO USINADO A QUENTE (CBUQ) - LOTE 01</t>
  </si>
  <si>
    <t>Distância média (conforme determinação da CI nº 121/2022 da PR/GB</t>
  </si>
  <si>
    <t>SINALIZAÇÃO HORIZONTAL E VERTICAL</t>
  </si>
  <si>
    <t>Placa de regulamentação em aço D = 0,60 m - película retrorrefletiva tipo I + SI - fornecimento e implantação</t>
  </si>
  <si>
    <t>Suporte metálico galvanizado para placa de advertência ou regulamentação - lado ou diâmetro de 0,60 m - fornecimento eimplantação</t>
  </si>
  <si>
    <t>Pintura de faixa com tinta acrílica - espessura de 0,4 mm</t>
  </si>
  <si>
    <t xml:space="preserve"> 1.6.1 </t>
  </si>
  <si>
    <t xml:space="preserve"> 1.6.2 </t>
  </si>
  <si>
    <t>Valor Unit c/BDI</t>
  </si>
  <si>
    <t>Und.</t>
  </si>
  <si>
    <t>2.1</t>
  </si>
  <si>
    <t>2.2</t>
  </si>
  <si>
    <t>2.3</t>
  </si>
  <si>
    <t>2.4</t>
  </si>
  <si>
    <t>3.1</t>
  </si>
  <si>
    <t>PAVIMENTAÇÃO</t>
  </si>
  <si>
    <t>3.1.1</t>
  </si>
  <si>
    <t>3.1.2</t>
  </si>
  <si>
    <t>3.1.3</t>
  </si>
  <si>
    <t>3.1.4</t>
  </si>
  <si>
    <t>3.2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</si>
  <si>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</si>
  <si>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</si>
  <si>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</si>
  <si>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</si>
  <si>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</si>
  <si>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</si>
  <si>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</si>
  <si>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</si>
  <si>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</si>
  <si>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4.1</t>
  </si>
  <si>
    <t>4.2</t>
  </si>
  <si>
    <t>4.3</t>
  </si>
  <si>
    <t>5.1</t>
  </si>
  <si>
    <t>5.2</t>
  </si>
  <si>
    <t>5.3</t>
  </si>
  <si>
    <t>5.4</t>
  </si>
  <si>
    <t>M2</t>
  </si>
  <si>
    <t>Largura da faixa</t>
  </si>
  <si>
    <t>Comprimento</t>
  </si>
  <si>
    <t xml:space="preserve"> 1.4.8 </t>
  </si>
  <si>
    <t xml:space="preserve"> 1.4.9 </t>
  </si>
  <si>
    <t>E9687</t>
  </si>
  <si>
    <t>Caminhão carroceria com capacidade de 5 t - 115 kW</t>
  </si>
  <si>
    <t>P9830</t>
  </si>
  <si>
    <t>Montador</t>
  </si>
  <si>
    <t>Placa em aço nº 16 galvanizado com película retrorrefletiva tipo I + SI - confecção</t>
  </si>
  <si>
    <t>M0789</t>
  </si>
  <si>
    <t>Conjunto para fixação de placas em aço galvanizado composto por barra chata, abraçadeira, parafusos,</t>
  </si>
  <si>
    <t>M0787</t>
  </si>
  <si>
    <t>Suporte em aço-carbono galvanizado tipo perfil C para placa de sinalização</t>
  </si>
  <si>
    <t>Concreto fck = 20 MPa - confecção em betoneira e lançamento manual - areia e brita comerciais</t>
  </si>
  <si>
    <t>Escavação manual em material de 1ª categoria na profundidade de até 1 m</t>
  </si>
  <si>
    <t>Carga, manobra e descarga de materiais diversos em caminhão carroceria de 15 t - carga e descarga manuais</t>
  </si>
  <si>
    <t>Conjunto para fixação de placas em aço galvanizado composto por barra chata, abraçadeira, parafusos, - Caminhão carroceria com capacidade de 15 t - 188 kW</t>
  </si>
  <si>
    <t>5914449
0,000
R$  1,13</t>
  </si>
  <si>
    <t>5914464
0,000
R$  0,91</t>
  </si>
  <si>
    <t>5914479
0,000
R$  0,75</t>
  </si>
  <si>
    <t>Suporte em aço-carbono galvanizado tipo perfil C para placa de sinalização - Caminhão carroceria com capacidade de 15 t - 188 kW</t>
  </si>
  <si>
    <t>E9644</t>
  </si>
  <si>
    <t>Caminhão demarcador de faixas com sistema de pintura a frio - 28 kW/115 kW</t>
  </si>
  <si>
    <t>P9853</t>
  </si>
  <si>
    <t>Pré-marcador</t>
  </si>
  <si>
    <t>M2037</t>
  </si>
  <si>
    <t>Microesferas refletivas de vidro tipo I-B</t>
  </si>
  <si>
    <t>M2038</t>
  </si>
  <si>
    <t>Microesferas refletivas de vidro tipo II-A</t>
  </si>
  <si>
    <t>M2034</t>
  </si>
  <si>
    <t>Solvente para tinta à base de resina acrílica</t>
  </si>
  <si>
    <t>M2044</t>
  </si>
  <si>
    <t>Tinta à base de resina acrílica emulsionada em água para pré-marcação viária</t>
  </si>
  <si>
    <t>M2027</t>
  </si>
  <si>
    <t>Tinta à base de resina acrílica estirenada para demarcação viária</t>
  </si>
  <si>
    <t>Microesferas refletivas de vidro tipo I-B - Caminhão carroceria com capacidade de 15 t - 188 kW</t>
  </si>
  <si>
    <t>Microesferas refletivas de vidro tipo II-A - Caminhão carroceria com capacidade de 15 t - 188 kW</t>
  </si>
  <si>
    <t>Solvente para tinta à base de resina acrílica - Caminhão carroceria com capacidade de 15 t - 188 kW</t>
  </si>
  <si>
    <t>Tinta à base de resina acrílica estirenada para demarcação viária - Caminhão carroceria com capacidade de 15 t - 188 kW</t>
  </si>
  <si>
    <t xml:space="preserve"> 1.6.3 </t>
  </si>
  <si>
    <t xml:space="preserve"> 1.6.4 </t>
  </si>
  <si>
    <t>Carga, manobra e descarga de materiais diversos em caminhão carroceria de 15 t - carga e descarga com caminhãoguindauto de 20 t.m</t>
  </si>
  <si>
    <t>E9686</t>
  </si>
  <si>
    <t>Caminhão carroceria com guindauto com capacidade de 20 t.m - 136 kW</t>
  </si>
  <si>
    <t>E9010</t>
  </si>
  <si>
    <t>Balança plataforma digital com mesa de 75 x 75 cm com capacidade de 500 kg</t>
  </si>
  <si>
    <t>E9519</t>
  </si>
  <si>
    <t>Betoneira com motor a gasolina com capacidade de 600 l - 10 kW</t>
  </si>
  <si>
    <t>E9521</t>
  </si>
  <si>
    <t>Grupo gerador - 2,5/3 kVA</t>
  </si>
  <si>
    <t>E9071</t>
  </si>
  <si>
    <t>Transportador manual carrinho de mão com capacidade de 80 l</t>
  </si>
  <si>
    <t>E9064</t>
  </si>
  <si>
    <t>Transportador manual gerica com capacidade de 180 l</t>
  </si>
  <si>
    <t>P9821</t>
  </si>
  <si>
    <t>Pedreiro</t>
  </si>
  <si>
    <t>M0030</t>
  </si>
  <si>
    <t>Aditivo plastificante e retardador de pega para concreto e argamassa</t>
  </si>
  <si>
    <t>M0082</t>
  </si>
  <si>
    <t>Areia média lavada</t>
  </si>
  <si>
    <t>M0192</t>
  </si>
  <si>
    <t>Brita 2</t>
  </si>
  <si>
    <t>M0424</t>
  </si>
  <si>
    <t>Cimento Portland CP II - 32 - saco</t>
  </si>
  <si>
    <t>Aditivo plastificante e retardador de pega para concreto e argamassa - Caminhão carroceria com capacidade de 15 t - 188 kW</t>
  </si>
  <si>
    <t>Areia média lavada - Caminhão basculante com capacidade de 10 m³ - 188 kW</t>
  </si>
  <si>
    <t>Brita 2 - Caminhão basculante com capacidade de 10 m³ - 188 kW</t>
  </si>
  <si>
    <t>Cimento Portland CP II - 32 - saco - Caminhão carroceria com capacidade de 15 t - 188 kW</t>
  </si>
  <si>
    <t>Pintura eletrostática a pó com tinta poliéster em chapa de aço</t>
  </si>
  <si>
    <t>E9076</t>
  </si>
  <si>
    <t>Equipamento para pintura eletrostática com cabine dupla de 7,00 kW e estufa de 80.000 kCal</t>
  </si>
  <si>
    <t>E9066</t>
  </si>
  <si>
    <t>Grupo gerador - 13/14 kVA</t>
  </si>
  <si>
    <t>P9801</t>
  </si>
  <si>
    <t>Ajudante</t>
  </si>
  <si>
    <t>P9822</t>
  </si>
  <si>
    <t>Pintor</t>
  </si>
  <si>
    <t>M3153</t>
  </si>
  <si>
    <t>Tinta em pó à base de resina poliéster</t>
  </si>
  <si>
    <t>Tinta em pó à base de resina poliéster - Caminhão carroceria com capacidade de 15 t - 188 kW</t>
  </si>
  <si>
    <t>E9568</t>
  </si>
  <si>
    <t>Furadeira de impacto de 12,5 mm - 0,80 kW</t>
  </si>
  <si>
    <t>E9623</t>
  </si>
  <si>
    <t>Máquina de bancada guilhotina - 4,00 kW</t>
  </si>
  <si>
    <t>E9622</t>
  </si>
  <si>
    <t>Máquina de bancada universal para corte de chapa - 1,50 kW</t>
  </si>
  <si>
    <t>P9823</t>
  </si>
  <si>
    <t>Serralheiro</t>
  </si>
  <si>
    <t>M1367</t>
  </si>
  <si>
    <t>Chapa fina em aço galvanizado</t>
  </si>
  <si>
    <t>M3229</t>
  </si>
  <si>
    <t>Película retrorrefletiva tipo I + SI (sinal impresso com película de sobreposição tipo V)</t>
  </si>
  <si>
    <t>Chapa fina em aço galvanizado - Caminhão carroceria com capacidade de 15 t - 188 kW</t>
  </si>
  <si>
    <t>Película retrorrefletiva tipo I + SI (sinal impresso com película de sobreposição tipo V) - Caminhão carroceria com capacidade de 15 t - 188 kW</t>
  </si>
  <si>
    <t>Transporte com caminhão carroceria de 15 t - rodovia em leito natural</t>
  </si>
  <si>
    <t>CAPA ASFALTICA EM CBUQ  2022 - Ñ.DES - LOTE 01</t>
  </si>
  <si>
    <t xml:space="preserve"> 5213440 </t>
  </si>
  <si>
    <t xml:space="preserve"> 5213863 </t>
  </si>
  <si>
    <t xml:space="preserve"> 5213400 </t>
  </si>
  <si>
    <t xml:space="preserve"> 5914333 </t>
  </si>
  <si>
    <t xml:space="preserve"> 5914655 </t>
  </si>
  <si>
    <t xml:space="preserve"> 1107892 </t>
  </si>
  <si>
    <t xml:space="preserve"> 4805750 </t>
  </si>
  <si>
    <t xml:space="preserve"> 5212552 </t>
  </si>
  <si>
    <t xml:space="preserve"> 5213414 </t>
  </si>
  <si>
    <t xml:space="preserve"> 5914449 </t>
  </si>
  <si>
    <t>Total sem BDI</t>
  </si>
  <si>
    <t>Total do BDI</t>
  </si>
  <si>
    <t>Total Geral</t>
  </si>
  <si>
    <t>_______________________________________________________________
Alex Braga
Engenhario Civil</t>
  </si>
  <si>
    <t>Quantidade por modulo: 3 faixas</t>
  </si>
  <si>
    <t>incc</t>
  </si>
  <si>
    <t>i</t>
  </si>
  <si>
    <t>p</t>
  </si>
  <si>
    <t>d</t>
  </si>
  <si>
    <t>EXECUÇÃO DE CAPA ASFÁLTICA EM CONCRETO BETUMINOSO USINADO A QUENTE (CBUQ)</t>
  </si>
  <si>
    <t>Global</t>
  </si>
  <si>
    <t>Valor Modulo Único =&gt;</t>
  </si>
  <si>
    <t>Valor Total dos Modulos =&gt;</t>
  </si>
  <si>
    <t>Quantidade de Modulos =&gt;</t>
  </si>
  <si>
    <t>Valor com BDI Total =&gt;</t>
  </si>
  <si>
    <t>MEMORIA DE CALCULO - LOTE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</si>
</sst>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\ * #,##0.00000_-;\-&quot;R$&quot;\ * #,##0.00000_-;_-&quot;R$&quot;\ * &quot;-&quot;??_-;_-@_-"/>
    <numFmt numFmtId="165" formatCode="_-* #,##0.0000000_-;\-* #,##0.0000000_-;_-* &quot;-&quot;??_-;_-@_-"/>
    <numFmt numFmtId="166" formatCode="_(* #,##0.00_);_(* \(#,##0.00\);_(* &quot;-&quot;??_);_(@_)"/>
    <numFmt numFmtId="167" formatCode="0.000"/>
    <numFmt numFmtId="168" formatCode="0.0"/>
    <numFmt numFmtId="169" formatCode="#,##0.0000000"/>
    <numFmt numFmtId="170" formatCode="#,##0.0000"/>
    <numFmt numFmtId="171" formatCode="_-&quot;R$&quot;\ * #,##0.0000_-;\-&quot;R$&quot;\ * #,##0.0000_-;_-&quot;R$&quot;\ * &quot;-&quot;??_-;_-@_-"/>
    <numFmt numFmtId="172" formatCode="_-* #,##0.00000_-;\-* #,##0.00000_-;_-* &quot;-&quot;??_-;_-@_-"/>
    <numFmt numFmtId="173" formatCode="0\ &quot;Km&quot;"/>
    <numFmt numFmtId="174" formatCode="_-* #,##0.00000_-;\-* #,##0.00000_-;_-* &quot;-&quot;?????_-;_-@_-"/>
    <numFmt numFmtId="175" formatCode="_-* #,##0.000000000_-;\-* #,##0.000000000_-;_-* &quot;-&quot;??_-;_-@_-"/>
    <numFmt numFmtId="176" formatCode="0.0000000"/>
  </numFmts>
  <fonts count="41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sz val="11"/>
      <color theme="1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b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b/>
      <sz val="12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sz val="11"/>
      <color rgb="FFFF0000"/>
      <name val="Arial"/>
      <family val="2"/>
    </font>
    <font>
      <sz val="10"/>
      <color rgb="FFFF0000"/>
      <name val="Calibri"/>
      <family val="1"/>
      <scheme val="minor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8"/>
      <name val="Arial"/>
      <family val="1"/>
    </font>
    <font>
      <b/>
      <sz val="18"/>
      <color rgb="FF000000"/>
      <name val="Arial"/>
      <family val="1"/>
    </font>
    <font>
      <b/>
      <sz val="18"/>
      <name val="Calibri"/>
      <family val="2"/>
      <scheme val="minor"/>
    </font>
    <font>
      <b/>
      <sz val="18"/>
      <color indexed="8"/>
      <name val="Calibri"/>
      <family val="1"/>
      <scheme val="minor"/>
    </font>
    <font>
      <b/>
      <sz val="18"/>
      <name val="Arial"/>
      <family val="1"/>
    </font>
    <font>
      <b/>
      <sz val="10"/>
      <color indexed="8"/>
      <name val="Calibri"/>
      <family val="1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theme="9" tint="0.59999389629810485"/>
        <bgColor indexed="64"/>
      </patternFill>
    </fill>
  </fills>
  <borders count="8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medium">
        <color indexed="64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medium">
        <color indexed="64"/>
      </right>
      <top/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medium">
        <color indexed="64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/>
      <diagonal/>
    </border>
    <border>
      <left style="medium">
        <color indexed="64"/>
      </left>
      <right style="thin">
        <color rgb="FFCCCCCC"/>
      </right>
      <top style="medium">
        <color indexed="64"/>
      </top>
      <bottom/>
      <diagonal/>
    </border>
    <border>
      <left style="thin">
        <color rgb="FFCCCCCC"/>
      </left>
      <right style="thin">
        <color rgb="FFCCCCCC"/>
      </right>
      <top style="medium">
        <color indexed="64"/>
      </top>
      <bottom/>
      <diagonal/>
    </border>
    <border>
      <left style="thin">
        <color rgb="FFCCCCCC"/>
      </left>
      <right/>
      <top style="medium">
        <color indexed="64"/>
      </top>
      <bottom style="hair">
        <color auto="1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thin">
        <color rgb="FFCCCCCC"/>
      </right>
      <top/>
      <bottom style="medium">
        <color indexed="64"/>
      </bottom>
      <diagonal/>
    </border>
    <border>
      <left style="thin">
        <color rgb="FFCCCCCC"/>
      </left>
      <right style="thin">
        <color rgb="FFCCCCCC"/>
      </right>
      <top/>
      <bottom style="medium">
        <color indexed="64"/>
      </bottom>
      <diagonal/>
    </border>
    <border>
      <left style="thin">
        <color rgb="FFCCCCCC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CCCCCC"/>
      </bottom>
      <diagonal/>
    </border>
    <border>
      <left/>
      <right/>
      <top style="medium">
        <color indexed="64"/>
      </top>
      <bottom style="thin">
        <color rgb="FFCCCCCC"/>
      </bottom>
      <diagonal/>
    </border>
    <border>
      <left/>
      <right style="medium">
        <color indexed="64"/>
      </right>
      <top style="medium">
        <color indexed="64"/>
      </top>
      <bottom style="thin">
        <color rgb="FFCCCCCC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rgb="FF000000"/>
      </bottom>
      <diagonal/>
    </border>
  </borders>
  <cellStyleXfs count="11">
    <xf numFmtId="0" fontId="0" fillId="0" borderId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1" fillId="0" borderId="0"/>
    <xf numFmtId="0" fontId="11" fillId="0" borderId="0"/>
    <xf numFmtId="44" fontId="3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1" fillId="0" borderId="0"/>
    <xf numFmtId="0" fontId="2" fillId="0" borderId="0"/>
    <xf numFmtId="43" fontId="2" fillId="0" borderId="0" applyFont="0" applyFill="0" applyBorder="0" applyAlignment="0" applyProtection="0"/>
  </cellStyleXfs>
  <cellXfs count="474">
    <xf numFmtId="0" fontId="0" fillId="0" borderId="0" xfId="0"/>
    <xf numFmtId="0" fontId="12" fillId="0" borderId="2" xfId="4" applyFont="1" applyBorder="1"/>
    <xf numFmtId="0" fontId="12" fillId="0" borderId="3" xfId="5" applyFont="1" applyBorder="1"/>
    <xf numFmtId="0" fontId="12" fillId="0" borderId="3" xfId="4" applyFont="1" applyBorder="1"/>
    <xf numFmtId="0" fontId="12" fillId="0" borderId="4" xfId="4" applyFont="1" applyBorder="1"/>
    <xf numFmtId="0" fontId="12" fillId="0" borderId="0" xfId="4" applyFont="1"/>
    <xf numFmtId="0" fontId="12" fillId="0" borderId="5" xfId="4" applyFont="1" applyBorder="1"/>
    <xf numFmtId="0" fontId="12" fillId="0" borderId="0" xfId="5" applyFont="1" applyBorder="1"/>
    <xf numFmtId="0" fontId="12" fillId="0" borderId="0" xfId="4" applyFont="1" applyBorder="1"/>
    <xf numFmtId="0" fontId="12" fillId="0" borderId="6" xfId="4" applyFont="1" applyBorder="1"/>
    <xf numFmtId="0" fontId="13" fillId="0" borderId="0" xfId="4" applyFont="1"/>
    <xf numFmtId="0" fontId="13" fillId="0" borderId="0" xfId="4" applyFont="1" applyAlignment="1">
      <alignment wrapText="1"/>
    </xf>
    <xf numFmtId="0" fontId="14" fillId="0" borderId="0" xfId="4" applyFont="1"/>
    <xf numFmtId="0" fontId="15" fillId="0" borderId="0" xfId="4" applyFont="1" applyAlignment="1">
      <alignment wrapText="1"/>
    </xf>
    <xf numFmtId="0" fontId="14" fillId="0" borderId="0" xfId="4" applyFont="1" applyAlignment="1">
      <alignment wrapText="1"/>
    </xf>
    <xf numFmtId="0" fontId="16" fillId="0" borderId="0" xfId="5" applyFont="1" applyBorder="1"/>
    <xf numFmtId="0" fontId="17" fillId="7" borderId="0" xfId="4" applyFont="1" applyFill="1"/>
    <xf numFmtId="0" fontId="18" fillId="0" borderId="0" xfId="4" applyFont="1" applyBorder="1" applyAlignment="1">
      <alignment horizontal="right"/>
    </xf>
    <xf numFmtId="0" fontId="18" fillId="0" borderId="0" xfId="5" applyFont="1" applyBorder="1" applyAlignment="1">
      <alignment horizontal="left" vertical="center"/>
    </xf>
    <xf numFmtId="0" fontId="13" fillId="0" borderId="5" xfId="4" applyFont="1" applyBorder="1"/>
    <xf numFmtId="0" fontId="13" fillId="0" borderId="0" xfId="5" applyFont="1" applyBorder="1"/>
    <xf numFmtId="0" fontId="13" fillId="0" borderId="0" xfId="4" applyFont="1" applyBorder="1"/>
    <xf numFmtId="0" fontId="13" fillId="0" borderId="6" xfId="4" applyFont="1" applyBorder="1"/>
    <xf numFmtId="0" fontId="17" fillId="0" borderId="10" xfId="4" applyFont="1" applyBorder="1" applyAlignment="1">
      <alignment horizontal="center"/>
    </xf>
    <xf numFmtId="0" fontId="18" fillId="0" borderId="13" xfId="4" applyFont="1" applyBorder="1" applyAlignment="1">
      <alignment horizontal="center"/>
    </xf>
    <xf numFmtId="0" fontId="19" fillId="0" borderId="13" xfId="4" applyFont="1" applyBorder="1" applyAlignment="1">
      <alignment horizontal="center"/>
    </xf>
    <xf numFmtId="0" fontId="19" fillId="0" borderId="14" xfId="4" applyFont="1" applyBorder="1" applyAlignment="1">
      <alignment horizontal="center"/>
    </xf>
    <xf numFmtId="0" fontId="13" fillId="0" borderId="10" xfId="4" applyFont="1" applyBorder="1" applyAlignment="1">
      <alignment horizontal="center"/>
    </xf>
    <xf numFmtId="0" fontId="12" fillId="0" borderId="13" xfId="4" applyFont="1" applyBorder="1" applyAlignment="1">
      <alignment horizontal="center"/>
    </xf>
    <xf numFmtId="164" fontId="14" fillId="0" borderId="13" xfId="6" applyNumberFormat="1" applyFont="1" applyBorder="1" applyAlignment="1">
      <alignment horizontal="center"/>
    </xf>
    <xf numFmtId="44" fontId="14" fillId="0" borderId="13" xfId="6" applyFont="1" applyBorder="1" applyAlignment="1">
      <alignment horizontal="center"/>
    </xf>
    <xf numFmtId="44" fontId="14" fillId="0" borderId="14" xfId="6" applyFont="1" applyBorder="1" applyAlignment="1"/>
    <xf numFmtId="166" fontId="14" fillId="0" borderId="0" xfId="7" applyNumberFormat="1" applyFont="1" applyBorder="1"/>
    <xf numFmtId="0" fontId="12" fillId="0" borderId="17" xfId="4" applyFont="1" applyBorder="1"/>
    <xf numFmtId="0" fontId="12" fillId="0" borderId="18" xfId="5" applyFont="1" applyBorder="1"/>
    <xf numFmtId="0" fontId="12" fillId="0" borderId="18" xfId="4" applyFont="1" applyBorder="1"/>
    <xf numFmtId="0" fontId="12" fillId="0" borderId="19" xfId="4" applyFont="1" applyBorder="1"/>
    <xf numFmtId="0" fontId="12" fillId="0" borderId="0" xfId="5" applyFont="1"/>
    <xf numFmtId="0" fontId="20" fillId="0" borderId="0" xfId="8" applyFont="1"/>
    <xf numFmtId="0" fontId="24" fillId="0" borderId="21" xfId="4" applyFont="1" applyBorder="1"/>
    <xf numFmtId="2" fontId="25" fillId="0" borderId="21" xfId="4" applyNumberFormat="1" applyFont="1" applyBorder="1"/>
    <xf numFmtId="0" fontId="11" fillId="0" borderId="21" xfId="4" applyBorder="1"/>
    <xf numFmtId="0" fontId="11" fillId="0" borderId="22" xfId="4" applyBorder="1"/>
    <xf numFmtId="43" fontId="11" fillId="6" borderId="0" xfId="1" applyFont="1" applyFill="1" applyBorder="1"/>
    <xf numFmtId="0" fontId="20" fillId="0" borderId="23" xfId="8" applyFont="1" applyBorder="1"/>
    <xf numFmtId="0" fontId="20" fillId="0" borderId="24" xfId="8" applyFont="1" applyBorder="1"/>
    <xf numFmtId="0" fontId="20" fillId="0" borderId="20" xfId="8" applyFont="1" applyBorder="1"/>
    <xf numFmtId="0" fontId="10" fillId="8" borderId="0" xfId="0" applyFont="1" applyFill="1" applyAlignment="1">
      <alignment horizontal="center" vertical="top"/>
    </xf>
    <xf numFmtId="0" fontId="20" fillId="8" borderId="0" xfId="8" applyFont="1" applyFill="1"/>
    <xf numFmtId="0" fontId="10" fillId="8" borderId="0" xfId="0" applyFont="1" applyFill="1" applyAlignment="1">
      <alignment horizontal="center"/>
    </xf>
    <xf numFmtId="0" fontId="10" fillId="8" borderId="0" xfId="0" applyFont="1" applyFill="1" applyAlignment="1">
      <alignment horizontal="left"/>
    </xf>
    <xf numFmtId="0" fontId="30" fillId="8" borderId="0" xfId="0" applyFont="1" applyFill="1" applyAlignment="1">
      <alignment horizontal="center"/>
    </xf>
    <xf numFmtId="0" fontId="31" fillId="8" borderId="0" xfId="8" applyFont="1" applyFill="1"/>
    <xf numFmtId="0" fontId="32" fillId="0" borderId="0" xfId="8" applyFont="1"/>
    <xf numFmtId="0" fontId="6" fillId="3" borderId="1" xfId="0" applyFont="1" applyFill="1" applyBorder="1" applyAlignment="1">
      <alignment horizontal="right" vertical="top" wrapText="1"/>
    </xf>
    <xf numFmtId="4" fontId="6" fillId="3" borderId="1" xfId="0" applyNumberFormat="1" applyFont="1" applyFill="1" applyBorder="1" applyAlignment="1">
      <alignment horizontal="right" vertical="top" wrapText="1"/>
    </xf>
    <xf numFmtId="0" fontId="7" fillId="5" borderId="0" xfId="0" applyFont="1" applyFill="1" applyAlignment="1">
      <alignment horizontal="center" vertical="top" wrapText="1"/>
    </xf>
    <xf numFmtId="0" fontId="6" fillId="0" borderId="28" xfId="0" applyFont="1" applyFill="1" applyBorder="1" applyAlignment="1">
      <alignment horizontal="center" vertical="center" wrapText="1"/>
    </xf>
    <xf numFmtId="0" fontId="0" fillId="0" borderId="0" xfId="0"/>
    <xf numFmtId="169" fontId="6" fillId="3" borderId="1" xfId="0" applyNumberFormat="1" applyFont="1" applyFill="1" applyBorder="1" applyAlignment="1">
      <alignment horizontal="right" vertical="top" wrapText="1"/>
    </xf>
    <xf numFmtId="0" fontId="7" fillId="10" borderId="1" xfId="0" applyFont="1" applyFill="1" applyBorder="1" applyAlignment="1">
      <alignment horizontal="right" vertical="top" wrapText="1"/>
    </xf>
    <xf numFmtId="0" fontId="7" fillId="10" borderId="1" xfId="0" applyFont="1" applyFill="1" applyBorder="1" applyAlignment="1">
      <alignment horizontal="center" vertical="top" wrapText="1"/>
    </xf>
    <xf numFmtId="169" fontId="7" fillId="10" borderId="1" xfId="0" applyNumberFormat="1" applyFont="1" applyFill="1" applyBorder="1" applyAlignment="1">
      <alignment horizontal="right" vertical="top" wrapText="1"/>
    </xf>
    <xf numFmtId="4" fontId="7" fillId="5" borderId="0" xfId="0" applyNumberFormat="1" applyFont="1" applyFill="1" applyAlignment="1">
      <alignment horizontal="right" vertical="top" wrapText="1"/>
    </xf>
    <xf numFmtId="0" fontId="6" fillId="3" borderId="37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horizontal="right" vertical="top" wrapText="1"/>
    </xf>
    <xf numFmtId="0" fontId="7" fillId="11" borderId="1" xfId="0" applyFont="1" applyFill="1" applyBorder="1" applyAlignment="1">
      <alignment horizontal="center" vertical="top" wrapText="1"/>
    </xf>
    <xf numFmtId="169" fontId="7" fillId="11" borderId="1" xfId="0" applyNumberFormat="1" applyFont="1" applyFill="1" applyBorder="1" applyAlignment="1">
      <alignment horizontal="right" vertical="top" wrapText="1"/>
    </xf>
    <xf numFmtId="4" fontId="7" fillId="11" borderId="1" xfId="0" applyNumberFormat="1" applyFont="1" applyFill="1" applyBorder="1" applyAlignment="1">
      <alignment horizontal="right" vertical="top" wrapText="1"/>
    </xf>
    <xf numFmtId="170" fontId="7" fillId="11" borderId="1" xfId="0" applyNumberFormat="1" applyFont="1" applyFill="1" applyBorder="1" applyAlignment="1">
      <alignment horizontal="right" vertical="top" wrapText="1"/>
    </xf>
    <xf numFmtId="0" fontId="12" fillId="0" borderId="2" xfId="5" applyFont="1" applyBorder="1"/>
    <xf numFmtId="0" fontId="12" fillId="0" borderId="17" xfId="5" applyFont="1" applyBorder="1"/>
    <xf numFmtId="0" fontId="13" fillId="0" borderId="0" xfId="4" applyFont="1" applyAlignment="1">
      <alignment vertical="top" wrapText="1"/>
    </xf>
    <xf numFmtId="0" fontId="2" fillId="0" borderId="0" xfId="9"/>
    <xf numFmtId="0" fontId="33" fillId="0" borderId="0" xfId="9" applyFont="1"/>
    <xf numFmtId="0" fontId="33" fillId="0" borderId="30" xfId="9" applyFont="1" applyBorder="1" applyAlignment="1">
      <alignment horizontal="center" vertical="center"/>
    </xf>
    <xf numFmtId="0" fontId="33" fillId="0" borderId="27" xfId="9" applyFont="1" applyBorder="1" applyAlignment="1">
      <alignment horizontal="center" vertical="center"/>
    </xf>
    <xf numFmtId="0" fontId="2" fillId="0" borderId="43" xfId="9" applyBorder="1"/>
    <xf numFmtId="0" fontId="2" fillId="0" borderId="6" xfId="9" applyBorder="1" applyAlignment="1">
      <alignment horizontal="center" vertical="center"/>
    </xf>
    <xf numFmtId="0" fontId="2" fillId="0" borderId="44" xfId="9" applyBorder="1"/>
    <xf numFmtId="0" fontId="2" fillId="0" borderId="19" xfId="9" applyBorder="1" applyAlignment="1">
      <alignment horizontal="center" vertical="center"/>
    </xf>
    <xf numFmtId="0" fontId="2" fillId="0" borderId="0" xfId="9" applyAlignment="1">
      <alignment horizontal="center" vertical="center"/>
    </xf>
    <xf numFmtId="0" fontId="2" fillId="0" borderId="18" xfId="9" applyBorder="1"/>
    <xf numFmtId="0" fontId="20" fillId="0" borderId="2" xfId="8" applyFont="1" applyBorder="1"/>
    <xf numFmtId="0" fontId="20" fillId="0" borderId="3" xfId="8" applyFont="1" applyBorder="1"/>
    <xf numFmtId="0" fontId="20" fillId="0" borderId="4" xfId="8" applyFont="1" applyBorder="1"/>
    <xf numFmtId="0" fontId="22" fillId="0" borderId="5" xfId="8" applyFont="1" applyBorder="1" applyAlignment="1">
      <alignment horizontal="left" vertical="top"/>
    </xf>
    <xf numFmtId="0" fontId="22" fillId="0" borderId="0" xfId="8" applyFont="1" applyBorder="1" applyAlignment="1">
      <alignment vertical="top" wrapText="1"/>
    </xf>
    <xf numFmtId="0" fontId="22" fillId="0" borderId="0" xfId="8" applyFont="1" applyBorder="1"/>
    <xf numFmtId="0" fontId="22" fillId="0" borderId="0" xfId="8" applyFont="1" applyBorder="1" applyAlignment="1">
      <alignment vertical="center"/>
    </xf>
    <xf numFmtId="0" fontId="23" fillId="0" borderId="0" xfId="8" applyFont="1" applyBorder="1" applyAlignment="1">
      <alignment vertical="center"/>
    </xf>
    <xf numFmtId="0" fontId="23" fillId="0" borderId="0" xfId="4" applyFont="1" applyBorder="1"/>
    <xf numFmtId="0" fontId="23" fillId="0" borderId="6" xfId="4" applyFont="1" applyBorder="1"/>
    <xf numFmtId="0" fontId="22" fillId="0" borderId="5" xfId="8" applyFont="1" applyBorder="1" applyAlignment="1">
      <alignment horizontal="center"/>
    </xf>
    <xf numFmtId="0" fontId="22" fillId="0" borderId="0" xfId="8" applyFont="1" applyBorder="1" applyAlignment="1">
      <alignment horizontal="center"/>
    </xf>
    <xf numFmtId="0" fontId="22" fillId="0" borderId="6" xfId="8" applyFont="1" applyBorder="1" applyAlignment="1">
      <alignment horizontal="center"/>
    </xf>
    <xf numFmtId="0" fontId="11" fillId="0" borderId="46" xfId="4" applyBorder="1"/>
    <xf numFmtId="0" fontId="26" fillId="0" borderId="5" xfId="8" applyFont="1" applyBorder="1" applyAlignment="1">
      <alignment horizontal="center"/>
    </xf>
    <xf numFmtId="0" fontId="26" fillId="0" borderId="0" xfId="8" applyFont="1" applyBorder="1" applyAlignment="1">
      <alignment horizontal="center"/>
    </xf>
    <xf numFmtId="0" fontId="25" fillId="0" borderId="0" xfId="4" applyFont="1" applyBorder="1" applyAlignment="1">
      <alignment horizontal="center" vertical="center"/>
    </xf>
    <xf numFmtId="0" fontId="26" fillId="0" borderId="6" xfId="8" applyFont="1" applyBorder="1" applyAlignment="1">
      <alignment horizontal="center"/>
    </xf>
    <xf numFmtId="0" fontId="24" fillId="0" borderId="0" xfId="4" applyFont="1" applyBorder="1" applyAlignment="1">
      <alignment horizontal="center" vertical="center"/>
    </xf>
    <xf numFmtId="2" fontId="27" fillId="0" borderId="0" xfId="4" applyNumberFormat="1" applyFont="1" applyBorder="1" applyAlignment="1">
      <alignment horizontal="center" vertical="center"/>
    </xf>
    <xf numFmtId="4" fontId="28" fillId="0" borderId="0" xfId="8" applyNumberFormat="1" applyFont="1" applyBorder="1" applyAlignment="1">
      <alignment horizontal="center"/>
    </xf>
    <xf numFmtId="0" fontId="29" fillId="0" borderId="5" xfId="4" applyFont="1" applyBorder="1" applyAlignment="1">
      <alignment horizontal="center" vertical="center"/>
    </xf>
    <xf numFmtId="0" fontId="29" fillId="0" borderId="0" xfId="4" applyFont="1" applyBorder="1" applyAlignment="1">
      <alignment horizontal="center" vertical="center"/>
    </xf>
    <xf numFmtId="0" fontId="11" fillId="0" borderId="0" xfId="4" applyBorder="1"/>
    <xf numFmtId="0" fontId="11" fillId="0" borderId="6" xfId="4" applyBorder="1"/>
    <xf numFmtId="0" fontId="24" fillId="0" borderId="0" xfId="4" applyFont="1" applyBorder="1"/>
    <xf numFmtId="2" fontId="25" fillId="0" borderId="0" xfId="4" applyNumberFormat="1" applyFont="1" applyBorder="1"/>
    <xf numFmtId="167" fontId="25" fillId="0" borderId="0" xfId="4" applyNumberFormat="1" applyFont="1" applyBorder="1"/>
    <xf numFmtId="0" fontId="11" fillId="0" borderId="5" xfId="4" applyBorder="1"/>
    <xf numFmtId="0" fontId="20" fillId="0" borderId="0" xfId="8" applyFont="1" applyBorder="1"/>
    <xf numFmtId="4" fontId="11" fillId="0" borderId="0" xfId="4" applyNumberFormat="1" applyBorder="1"/>
    <xf numFmtId="0" fontId="11" fillId="0" borderId="47" xfId="4" applyBorder="1"/>
    <xf numFmtId="0" fontId="25" fillId="0" borderId="0" xfId="4" applyFont="1" applyBorder="1"/>
    <xf numFmtId="2" fontId="25" fillId="0" borderId="0" xfId="4" applyNumberFormat="1" applyFont="1" applyBorder="1" applyAlignment="1">
      <alignment horizontal="center" vertical="center"/>
    </xf>
    <xf numFmtId="0" fontId="11" fillId="0" borderId="48" xfId="4" applyBorder="1"/>
    <xf numFmtId="4" fontId="28" fillId="6" borderId="0" xfId="8" applyNumberFormat="1" applyFont="1" applyFill="1" applyBorder="1" applyAlignment="1">
      <alignment horizontal="center"/>
    </xf>
    <xf numFmtId="0" fontId="11" fillId="6" borderId="0" xfId="4" applyFill="1" applyBorder="1"/>
    <xf numFmtId="0" fontId="11" fillId="6" borderId="0" xfId="8" applyFill="1" applyBorder="1"/>
    <xf numFmtId="0" fontId="11" fillId="6" borderId="6" xfId="8" applyFill="1" applyBorder="1"/>
    <xf numFmtId="0" fontId="20" fillId="0" borderId="17" xfId="8" applyFont="1" applyBorder="1"/>
    <xf numFmtId="0" fontId="20" fillId="0" borderId="18" xfId="8" applyFont="1" applyBorder="1"/>
    <xf numFmtId="0" fontId="20" fillId="0" borderId="19" xfId="8" applyFont="1" applyBorder="1"/>
    <xf numFmtId="0" fontId="0" fillId="0" borderId="0" xfId="0" applyAlignment="1">
      <alignment vertical="center"/>
    </xf>
    <xf numFmtId="0" fontId="0" fillId="9" borderId="0" xfId="0" applyFill="1"/>
    <xf numFmtId="44" fontId="0" fillId="9" borderId="0" xfId="0" applyNumberFormat="1" applyFill="1"/>
    <xf numFmtId="43" fontId="0" fillId="9" borderId="0" xfId="1" applyFont="1" applyFill="1" applyBorder="1"/>
    <xf numFmtId="0" fontId="0" fillId="9" borderId="24" xfId="0" applyFill="1" applyBorder="1"/>
    <xf numFmtId="171" fontId="0" fillId="9" borderId="24" xfId="0" applyNumberFormat="1" applyFill="1" applyBorder="1"/>
    <xf numFmtId="43" fontId="0" fillId="0" borderId="0" xfId="0" applyNumberFormat="1"/>
    <xf numFmtId="0" fontId="5" fillId="2" borderId="35" xfId="0" applyFont="1" applyFill="1" applyBorder="1" applyAlignment="1">
      <alignment horizontal="left" vertical="center" wrapText="1"/>
    </xf>
    <xf numFmtId="0" fontId="5" fillId="2" borderId="35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Alignment="1">
      <alignment vertical="center"/>
    </xf>
    <xf numFmtId="43" fontId="0" fillId="0" borderId="0" xfId="1" applyFont="1" applyAlignment="1">
      <alignment vertical="center"/>
    </xf>
    <xf numFmtId="0" fontId="0" fillId="0" borderId="0" xfId="0" applyFill="1" applyAlignment="1">
      <alignment vertical="center"/>
    </xf>
    <xf numFmtId="168" fontId="0" fillId="0" borderId="0" xfId="0" applyNumberFormat="1" applyAlignment="1">
      <alignment vertical="center"/>
    </xf>
    <xf numFmtId="9" fontId="0" fillId="0" borderId="0" xfId="3" applyFont="1" applyAlignment="1">
      <alignment vertical="center"/>
    </xf>
    <xf numFmtId="43" fontId="5" fillId="2" borderId="1" xfId="1" applyFont="1" applyFill="1" applyBorder="1" applyAlignment="1">
      <alignment horizontal="right" vertical="center" wrapText="1"/>
    </xf>
    <xf numFmtId="43" fontId="6" fillId="4" borderId="1" xfId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8" fillId="0" borderId="3" xfId="4" applyFont="1" applyBorder="1" applyAlignment="1">
      <alignment horizontal="left"/>
    </xf>
    <xf numFmtId="0" fontId="18" fillId="0" borderId="4" xfId="4" applyFont="1" applyBorder="1" applyAlignment="1">
      <alignment horizontal="left"/>
    </xf>
    <xf numFmtId="0" fontId="18" fillId="0" borderId="6" xfId="4" applyFont="1" applyBorder="1" applyAlignment="1">
      <alignment horizontal="left"/>
    </xf>
    <xf numFmtId="0" fontId="18" fillId="0" borderId="18" xfId="4" applyFont="1" applyBorder="1" applyAlignment="1">
      <alignment horizontal="left"/>
    </xf>
    <xf numFmtId="0" fontId="18" fillId="0" borderId="19" xfId="4" applyFont="1" applyBorder="1" applyAlignment="1">
      <alignment horizontal="left"/>
    </xf>
    <xf numFmtId="0" fontId="1" fillId="0" borderId="44" xfId="9" applyFont="1" applyBorder="1"/>
    <xf numFmtId="0" fontId="18" fillId="0" borderId="0" xfId="4" applyFont="1" applyBorder="1" applyAlignment="1">
      <alignment horizontal="left"/>
    </xf>
    <xf numFmtId="0" fontId="2" fillId="0" borderId="0" xfId="9" applyBorder="1" applyAlignment="1">
      <alignment horizontal="center" vertical="center"/>
    </xf>
    <xf numFmtId="1" fontId="0" fillId="0" borderId="0" xfId="10" applyNumberFormat="1" applyFont="1" applyBorder="1" applyAlignment="1">
      <alignment horizontal="center" vertical="center"/>
    </xf>
    <xf numFmtId="0" fontId="2" fillId="0" borderId="3" xfId="9" applyBorder="1"/>
    <xf numFmtId="0" fontId="2" fillId="0" borderId="0" xfId="9" applyBorder="1"/>
    <xf numFmtId="0" fontId="2" fillId="0" borderId="49" xfId="9" applyBorder="1"/>
    <xf numFmtId="173" fontId="33" fillId="0" borderId="6" xfId="9" applyNumberFormat="1" applyFont="1" applyBorder="1" applyAlignment="1">
      <alignment horizontal="center" vertical="center"/>
    </xf>
    <xf numFmtId="0" fontId="7" fillId="11" borderId="1" xfId="0" applyFont="1" applyFill="1" applyBorder="1" applyAlignment="1">
      <alignment horizontal="left" vertical="top" wrapText="1"/>
    </xf>
    <xf numFmtId="0" fontId="7" fillId="5" borderId="0" xfId="0" applyFont="1" applyFill="1" applyAlignment="1">
      <alignment horizontal="right" vertical="top" wrapText="1"/>
    </xf>
    <xf numFmtId="0" fontId="4" fillId="5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7" fillId="10" borderId="1" xfId="0" applyFont="1" applyFill="1" applyBorder="1" applyAlignment="1">
      <alignment horizontal="left" vertical="top" wrapText="1"/>
    </xf>
    <xf numFmtId="0" fontId="8" fillId="5" borderId="0" xfId="0" applyFont="1" applyFill="1" applyAlignment="1">
      <alignment horizontal="right" vertical="top" wrapText="1"/>
    </xf>
    <xf numFmtId="0" fontId="4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right" vertical="top" wrapText="1"/>
    </xf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171" fontId="0" fillId="0" borderId="0" xfId="0" applyNumberFormat="1"/>
    <xf numFmtId="43" fontId="0" fillId="0" borderId="0" xfId="1" applyFont="1"/>
    <xf numFmtId="44" fontId="0" fillId="0" borderId="0" xfId="0" applyNumberFormat="1" applyAlignment="1">
      <alignment vertical="center"/>
    </xf>
    <xf numFmtId="172" fontId="0" fillId="0" borderId="0" xfId="0" applyNumberFormat="1" applyAlignment="1">
      <alignment vertical="center"/>
    </xf>
    <xf numFmtId="43" fontId="0" fillId="0" borderId="0" xfId="0" applyNumberFormat="1" applyAlignment="1">
      <alignment vertical="center"/>
    </xf>
    <xf numFmtId="0" fontId="4" fillId="5" borderId="2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170" fontId="8" fillId="5" borderId="0" xfId="0" applyNumberFormat="1" applyFont="1" applyFill="1" applyAlignment="1">
      <alignment horizontal="right" vertical="top" wrapText="1"/>
    </xf>
    <xf numFmtId="170" fontId="7" fillId="10" borderId="1" xfId="0" applyNumberFormat="1" applyFont="1" applyFill="1" applyBorder="1" applyAlignment="1">
      <alignment horizontal="right" vertical="top" wrapText="1"/>
    </xf>
    <xf numFmtId="0" fontId="7" fillId="5" borderId="0" xfId="0" applyFont="1" applyFill="1" applyAlignment="1">
      <alignment horizontal="left" vertical="top" wrapText="1"/>
    </xf>
    <xf numFmtId="0" fontId="8" fillId="5" borderId="0" xfId="0" applyFont="1" applyFill="1" applyAlignment="1">
      <alignment horizontal="center" vertical="top" wrapText="1"/>
    </xf>
    <xf numFmtId="0" fontId="0" fillId="0" borderId="0" xfId="0" applyAlignment="1">
      <alignment horizontal="center" vertical="center"/>
    </xf>
    <xf numFmtId="174" fontId="0" fillId="0" borderId="0" xfId="0" applyNumberFormat="1" applyAlignment="1">
      <alignment vertical="center"/>
    </xf>
    <xf numFmtId="175" fontId="0" fillId="0" borderId="0" xfId="0" applyNumberFormat="1" applyAlignment="1">
      <alignment vertical="center"/>
    </xf>
    <xf numFmtId="165" fontId="0" fillId="0" borderId="0" xfId="1" applyNumberFormat="1" applyFont="1" applyAlignment="1">
      <alignment vertical="center"/>
    </xf>
    <xf numFmtId="0" fontId="5" fillId="2" borderId="28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6" fillId="4" borderId="2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center" vertical="center" wrapText="1"/>
    </xf>
    <xf numFmtId="0" fontId="4" fillId="5" borderId="38" xfId="0" applyFont="1" applyFill="1" applyBorder="1" applyAlignment="1">
      <alignment horizontal="left" vertical="top" wrapText="1"/>
    </xf>
    <xf numFmtId="0" fontId="4" fillId="5" borderId="39" xfId="0" applyFont="1" applyFill="1" applyBorder="1" applyAlignment="1">
      <alignment horizontal="left" vertical="top" wrapText="1"/>
    </xf>
    <xf numFmtId="0" fontId="4" fillId="5" borderId="39" xfId="0" applyFont="1" applyFill="1" applyBorder="1" applyAlignment="1">
      <alignment horizontal="right" vertical="top" wrapText="1"/>
    </xf>
    <xf numFmtId="0" fontId="4" fillId="5" borderId="53" xfId="0" applyFont="1" applyFill="1" applyBorder="1" applyAlignment="1">
      <alignment horizontal="right" vertical="top" wrapText="1"/>
    </xf>
    <xf numFmtId="10" fontId="5" fillId="2" borderId="51" xfId="3" applyNumberFormat="1" applyFont="1" applyFill="1" applyBorder="1" applyAlignment="1">
      <alignment horizontal="right" vertical="top" wrapText="1"/>
    </xf>
    <xf numFmtId="10" fontId="6" fillId="2" borderId="56" xfId="3" applyNumberFormat="1" applyFont="1" applyFill="1" applyBorder="1" applyAlignment="1">
      <alignment horizontal="right" vertical="top" wrapText="1"/>
    </xf>
    <xf numFmtId="10" fontId="6" fillId="2" borderId="57" xfId="3" applyNumberFormat="1" applyFont="1" applyFill="1" applyBorder="1" applyAlignment="1">
      <alignment horizontal="right" vertical="top" wrapText="1"/>
    </xf>
    <xf numFmtId="10" fontId="0" fillId="0" borderId="0" xfId="0" applyNumberFormat="1"/>
    <xf numFmtId="44" fontId="5" fillId="2" borderId="32" xfId="2" applyFont="1" applyFill="1" applyBorder="1" applyAlignment="1">
      <alignment horizontal="right" vertical="top" wrapText="1"/>
    </xf>
    <xf numFmtId="43" fontId="5" fillId="2" borderId="59" xfId="1" applyFont="1" applyFill="1" applyBorder="1" applyAlignment="1">
      <alignment horizontal="right" vertical="top" wrapText="1"/>
    </xf>
    <xf numFmtId="43" fontId="5" fillId="2" borderId="60" xfId="1" applyFont="1" applyFill="1" applyBorder="1" applyAlignment="1">
      <alignment horizontal="right" vertical="top" wrapText="1"/>
    </xf>
    <xf numFmtId="10" fontId="5" fillId="0" borderId="51" xfId="3" applyNumberFormat="1" applyFont="1" applyFill="1" applyBorder="1" applyAlignment="1">
      <alignment horizontal="right" vertical="top" wrapText="1"/>
    </xf>
    <xf numFmtId="10" fontId="6" fillId="0" borderId="56" xfId="3" applyNumberFormat="1" applyFont="1" applyFill="1" applyBorder="1" applyAlignment="1">
      <alignment horizontal="right" vertical="top" wrapText="1"/>
    </xf>
    <xf numFmtId="10" fontId="6" fillId="0" borderId="61" xfId="3" applyNumberFormat="1" applyFont="1" applyFill="1" applyBorder="1" applyAlignment="1">
      <alignment horizontal="right" vertical="top" wrapText="1"/>
    </xf>
    <xf numFmtId="10" fontId="6" fillId="0" borderId="62" xfId="3" applyNumberFormat="1" applyFont="1" applyFill="1" applyBorder="1" applyAlignment="1">
      <alignment horizontal="right" vertical="top" wrapText="1"/>
    </xf>
    <xf numFmtId="44" fontId="5" fillId="0" borderId="32" xfId="0" applyNumberFormat="1" applyFont="1" applyBorder="1" applyAlignment="1">
      <alignment horizontal="right" vertical="top" wrapText="1"/>
    </xf>
    <xf numFmtId="43" fontId="5" fillId="0" borderId="59" xfId="1" applyFont="1" applyFill="1" applyBorder="1" applyAlignment="1">
      <alignment horizontal="right" vertical="top" wrapText="1"/>
    </xf>
    <xf numFmtId="43" fontId="5" fillId="0" borderId="60" xfId="1" applyFont="1" applyFill="1" applyBorder="1" applyAlignment="1">
      <alignment horizontal="right" vertical="top" wrapText="1"/>
    </xf>
    <xf numFmtId="10" fontId="8" fillId="5" borderId="0" xfId="3" applyNumberFormat="1" applyFont="1" applyFill="1" applyBorder="1" applyAlignment="1">
      <alignment horizontal="right" vertical="top" wrapText="1"/>
    </xf>
    <xf numFmtId="0" fontId="8" fillId="5" borderId="18" xfId="0" applyFont="1" applyFill="1" applyBorder="1" applyAlignment="1">
      <alignment horizontal="left" vertical="top" wrapText="1"/>
    </xf>
    <xf numFmtId="43" fontId="8" fillId="5" borderId="18" xfId="0" applyNumberFormat="1" applyFont="1" applyFill="1" applyBorder="1" applyAlignment="1">
      <alignment horizontal="right" vertical="top" wrapText="1"/>
    </xf>
    <xf numFmtId="0" fontId="8" fillId="5" borderId="3" xfId="0" applyFont="1" applyFill="1" applyBorder="1" applyAlignment="1">
      <alignment horizontal="left" vertical="top" wrapText="1"/>
    </xf>
    <xf numFmtId="10" fontId="8" fillId="5" borderId="3" xfId="3" applyNumberFormat="1" applyFont="1" applyFill="1" applyBorder="1" applyAlignment="1">
      <alignment horizontal="right" vertical="top" wrapText="1"/>
    </xf>
    <xf numFmtId="10" fontId="8" fillId="5" borderId="4" xfId="3" applyNumberFormat="1" applyFont="1" applyFill="1" applyBorder="1" applyAlignment="1">
      <alignment horizontal="right" vertical="top" wrapText="1"/>
    </xf>
    <xf numFmtId="0" fontId="8" fillId="5" borderId="0" xfId="0" applyFont="1" applyFill="1" applyBorder="1" applyAlignment="1">
      <alignment horizontal="left" vertical="top" wrapText="1"/>
    </xf>
    <xf numFmtId="43" fontId="8" fillId="5" borderId="0" xfId="0" applyNumberFormat="1" applyFont="1" applyFill="1" applyBorder="1" applyAlignment="1">
      <alignment horizontal="right" vertical="top" wrapText="1"/>
    </xf>
    <xf numFmtId="43" fontId="8" fillId="5" borderId="6" xfId="0" applyNumberFormat="1" applyFont="1" applyFill="1" applyBorder="1" applyAlignment="1">
      <alignment horizontal="right" vertical="top" wrapText="1"/>
    </xf>
    <xf numFmtId="10" fontId="8" fillId="5" borderId="6" xfId="3" applyNumberFormat="1" applyFont="1" applyFill="1" applyBorder="1" applyAlignment="1">
      <alignment horizontal="right" vertical="top" wrapText="1"/>
    </xf>
    <xf numFmtId="43" fontId="8" fillId="5" borderId="19" xfId="0" applyNumberFormat="1" applyFont="1" applyFill="1" applyBorder="1" applyAlignment="1">
      <alignment horizontal="right" vertical="top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left" vertical="center" wrapText="1"/>
    </xf>
    <xf numFmtId="43" fontId="6" fillId="0" borderId="32" xfId="1" applyNumberFormat="1" applyFont="1" applyFill="1" applyBorder="1" applyAlignment="1">
      <alignment horizontal="right" vertical="center" wrapText="1"/>
    </xf>
    <xf numFmtId="4" fontId="6" fillId="0" borderId="32" xfId="0" applyNumberFormat="1" applyFont="1" applyFill="1" applyBorder="1" applyAlignment="1">
      <alignment horizontal="right" vertical="center" wrapText="1"/>
    </xf>
    <xf numFmtId="0" fontId="5" fillId="2" borderId="50" xfId="0" applyFont="1" applyFill="1" applyBorder="1" applyAlignment="1">
      <alignment horizontal="center" vertical="center" wrapText="1"/>
    </xf>
    <xf numFmtId="0" fontId="5" fillId="2" borderId="51" xfId="0" applyFont="1" applyFill="1" applyBorder="1" applyAlignment="1">
      <alignment horizontal="center" vertical="center" wrapText="1"/>
    </xf>
    <xf numFmtId="0" fontId="5" fillId="2" borderId="51" xfId="0" applyFont="1" applyFill="1" applyBorder="1" applyAlignment="1">
      <alignment horizontal="left" vertical="center" wrapText="1"/>
    </xf>
    <xf numFmtId="43" fontId="5" fillId="2" borderId="51" xfId="1" applyFont="1" applyFill="1" applyBorder="1" applyAlignment="1">
      <alignment horizontal="righ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5" fillId="2" borderId="69" xfId="0" applyFont="1" applyFill="1" applyBorder="1" applyAlignment="1">
      <alignment horizontal="left" vertical="center" wrapText="1"/>
    </xf>
    <xf numFmtId="0" fontId="5" fillId="2" borderId="70" xfId="0" applyFont="1" applyFill="1" applyBorder="1" applyAlignment="1">
      <alignment horizontal="right" vertical="center" wrapText="1"/>
    </xf>
    <xf numFmtId="43" fontId="5" fillId="2" borderId="70" xfId="1" applyFont="1" applyFill="1" applyBorder="1" applyAlignment="1">
      <alignment horizontal="right" vertical="center" wrapText="1"/>
    </xf>
    <xf numFmtId="0" fontId="6" fillId="3" borderId="69" xfId="0" applyFont="1" applyFill="1" applyBorder="1" applyAlignment="1">
      <alignment horizontal="left" vertical="center" wrapText="1"/>
    </xf>
    <xf numFmtId="0" fontId="6" fillId="3" borderId="69" xfId="0" applyFont="1" applyFill="1" applyBorder="1" applyAlignment="1">
      <alignment horizontal="center" vertical="center" wrapText="1"/>
    </xf>
    <xf numFmtId="43" fontId="6" fillId="3" borderId="70" xfId="1" applyFont="1" applyFill="1" applyBorder="1" applyAlignment="1">
      <alignment horizontal="right" vertical="center" wrapText="1"/>
    </xf>
    <xf numFmtId="0" fontId="6" fillId="0" borderId="69" xfId="0" applyFont="1" applyBorder="1" applyAlignment="1">
      <alignment horizontal="left" vertical="center" wrapText="1"/>
    </xf>
    <xf numFmtId="0" fontId="6" fillId="0" borderId="69" xfId="0" applyFont="1" applyBorder="1" applyAlignment="1">
      <alignment horizontal="center" vertical="center" wrapText="1"/>
    </xf>
    <xf numFmtId="43" fontId="6" fillId="0" borderId="70" xfId="1" applyFont="1" applyFill="1" applyBorder="1" applyAlignment="1">
      <alignment horizontal="right" vertical="center" wrapText="1"/>
    </xf>
    <xf numFmtId="43" fontId="6" fillId="0" borderId="70" xfId="1" applyFont="1" applyBorder="1" applyAlignment="1">
      <alignment horizontal="right" vertical="center" wrapText="1"/>
    </xf>
    <xf numFmtId="43" fontId="6" fillId="0" borderId="70" xfId="1" applyNumberFormat="1" applyFont="1" applyFill="1" applyBorder="1" applyAlignment="1">
      <alignment horizontal="right" vertical="center" wrapText="1"/>
    </xf>
    <xf numFmtId="43" fontId="7" fillId="0" borderId="70" xfId="1" applyFont="1" applyBorder="1" applyAlignment="1">
      <alignment horizontal="right" vertical="center" wrapText="1"/>
    </xf>
    <xf numFmtId="0" fontId="6" fillId="0" borderId="69" xfId="0" applyFont="1" applyFill="1" applyBorder="1" applyAlignment="1">
      <alignment horizontal="left" vertical="center" wrapText="1"/>
    </xf>
    <xf numFmtId="172" fontId="6" fillId="0" borderId="70" xfId="1" applyNumberFormat="1" applyFont="1" applyBorder="1" applyAlignment="1">
      <alignment horizontal="right" vertical="center" wrapText="1"/>
    </xf>
    <xf numFmtId="172" fontId="6" fillId="0" borderId="70" xfId="1" applyNumberFormat="1" applyFont="1" applyFill="1" applyBorder="1" applyAlignment="1">
      <alignment horizontal="right" vertical="center" wrapText="1"/>
    </xf>
    <xf numFmtId="0" fontId="6" fillId="9" borderId="68" xfId="0" applyFont="1" applyFill="1" applyBorder="1" applyAlignment="1">
      <alignment horizontal="center" vertical="center" wrapText="1"/>
    </xf>
    <xf numFmtId="0" fontId="6" fillId="0" borderId="68" xfId="0" applyFont="1" applyBorder="1" applyAlignment="1">
      <alignment horizontal="center" vertical="center" wrapText="1"/>
    </xf>
    <xf numFmtId="0" fontId="6" fillId="0" borderId="68" xfId="0" applyFont="1" applyFill="1" applyBorder="1" applyAlignment="1">
      <alignment horizontal="center" vertical="center" wrapText="1"/>
    </xf>
    <xf numFmtId="0" fontId="6" fillId="0" borderId="72" xfId="0" applyFont="1" applyBorder="1" applyAlignment="1">
      <alignment horizontal="left" vertical="center" wrapText="1"/>
    </xf>
    <xf numFmtId="9" fontId="6" fillId="0" borderId="72" xfId="0" applyNumberFormat="1" applyFont="1" applyBorder="1" applyAlignment="1">
      <alignment horizontal="center" vertical="center" wrapText="1"/>
    </xf>
    <xf numFmtId="43" fontId="6" fillId="0" borderId="73" xfId="1" applyFont="1" applyBorder="1" applyAlignment="1">
      <alignment horizontal="right" vertical="center" wrapText="1"/>
    </xf>
    <xf numFmtId="0" fontId="5" fillId="2" borderId="68" xfId="0" applyFont="1" applyFill="1" applyBorder="1" applyAlignment="1">
      <alignment horizontal="center" vertical="center" wrapText="1"/>
    </xf>
    <xf numFmtId="0" fontId="6" fillId="3" borderId="68" xfId="0" applyFont="1" applyFill="1" applyBorder="1" applyAlignment="1">
      <alignment horizontal="center" vertical="center" wrapText="1"/>
    </xf>
    <xf numFmtId="0" fontId="6" fillId="0" borderId="71" xfId="0" applyFont="1" applyBorder="1" applyAlignment="1">
      <alignment horizontal="center" vertical="center" wrapText="1"/>
    </xf>
    <xf numFmtId="4" fontId="5" fillId="2" borderId="52" xfId="0" applyNumberFormat="1" applyFont="1" applyFill="1" applyBorder="1" applyAlignment="1">
      <alignment horizontal="right" vertical="center" wrapText="1"/>
    </xf>
    <xf numFmtId="4" fontId="6" fillId="0" borderId="29" xfId="0" applyNumberFormat="1" applyFont="1" applyFill="1" applyBorder="1" applyAlignment="1">
      <alignment horizontal="right" vertical="center" wrapText="1"/>
    </xf>
    <xf numFmtId="4" fontId="5" fillId="2" borderId="36" xfId="0" applyNumberFormat="1" applyFont="1" applyFill="1" applyBorder="1" applyAlignment="1">
      <alignment horizontal="right" vertical="center" wrapText="1"/>
    </xf>
    <xf numFmtId="4" fontId="5" fillId="2" borderId="29" xfId="0" applyNumberFormat="1" applyFont="1" applyFill="1" applyBorder="1" applyAlignment="1">
      <alignment horizontal="right" vertical="center" wrapText="1"/>
    </xf>
    <xf numFmtId="4" fontId="6" fillId="4" borderId="29" xfId="0" applyNumberFormat="1" applyFont="1" applyFill="1" applyBorder="1" applyAlignment="1">
      <alignment horizontal="right" vertical="center" wrapText="1"/>
    </xf>
    <xf numFmtId="4" fontId="6" fillId="0" borderId="33" xfId="0" applyNumberFormat="1" applyFont="1" applyFill="1" applyBorder="1" applyAlignment="1">
      <alignment horizontal="right" vertical="center" wrapText="1"/>
    </xf>
    <xf numFmtId="0" fontId="4" fillId="5" borderId="41" xfId="0" applyFont="1" applyFill="1" applyBorder="1" applyAlignment="1">
      <alignment horizontal="center" vertical="center" wrapText="1"/>
    </xf>
    <xf numFmtId="0" fontId="4" fillId="5" borderId="40" xfId="0" applyFont="1" applyFill="1" applyBorder="1" applyAlignment="1">
      <alignment horizontal="center" vertical="center" wrapText="1"/>
    </xf>
    <xf numFmtId="0" fontId="4" fillId="5" borderId="42" xfId="0" applyFont="1" applyFill="1" applyBorder="1" applyAlignment="1">
      <alignment horizontal="center" vertical="center" wrapText="1"/>
    </xf>
    <xf numFmtId="0" fontId="8" fillId="5" borderId="74" xfId="0" applyFont="1" applyFill="1" applyBorder="1" applyAlignment="1">
      <alignment horizontal="left" vertical="center" wrapText="1"/>
    </xf>
    <xf numFmtId="0" fontId="5" fillId="2" borderId="69" xfId="0" applyFont="1" applyFill="1" applyBorder="1" applyAlignment="1">
      <alignment horizontal="center" vertical="center" wrapText="1"/>
    </xf>
    <xf numFmtId="43" fontId="5" fillId="2" borderId="70" xfId="1" applyFont="1" applyFill="1" applyBorder="1" applyAlignment="1">
      <alignment horizontal="center" vertical="center" wrapText="1"/>
    </xf>
    <xf numFmtId="0" fontId="5" fillId="2" borderId="76" xfId="0" applyFont="1" applyFill="1" applyBorder="1" applyAlignment="1">
      <alignment horizontal="center" vertical="center" wrapText="1"/>
    </xf>
    <xf numFmtId="43" fontId="0" fillId="0" borderId="0" xfId="0" applyNumberFormat="1" applyAlignment="1">
      <alignment horizontal="center" vertical="center"/>
    </xf>
    <xf numFmtId="172" fontId="0" fillId="0" borderId="0" xfId="1" applyNumberFormat="1" applyFont="1" applyAlignment="1">
      <alignment vertical="center"/>
    </xf>
    <xf numFmtId="43" fontId="5" fillId="2" borderId="35" xfId="1" applyFont="1" applyFill="1" applyBorder="1" applyAlignment="1">
      <alignment horizontal="right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left" vertical="center" wrapText="1"/>
    </xf>
    <xf numFmtId="43" fontId="6" fillId="4" borderId="32" xfId="1" applyFont="1" applyFill="1" applyBorder="1" applyAlignment="1">
      <alignment horizontal="right" vertical="center" wrapText="1"/>
    </xf>
    <xf numFmtId="4" fontId="6" fillId="4" borderId="32" xfId="0" applyNumberFormat="1" applyFont="1" applyFill="1" applyBorder="1" applyAlignment="1">
      <alignment horizontal="right" vertical="center" wrapText="1"/>
    </xf>
    <xf numFmtId="4" fontId="6" fillId="4" borderId="33" xfId="0" applyNumberFormat="1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7" fillId="5" borderId="0" xfId="0" applyFont="1" applyFill="1" applyAlignment="1">
      <alignment horizontal="right" vertical="top"/>
    </xf>
    <xf numFmtId="0" fontId="6" fillId="3" borderId="37" xfId="0" applyFont="1" applyFill="1" applyBorder="1" applyAlignment="1">
      <alignment horizontal="left" vertical="top"/>
    </xf>
    <xf numFmtId="0" fontId="7" fillId="10" borderId="1" xfId="0" applyFont="1" applyFill="1" applyBorder="1" applyAlignment="1">
      <alignment horizontal="center" vertical="top"/>
    </xf>
    <xf numFmtId="0" fontId="4" fillId="5" borderId="1" xfId="0" applyFont="1" applyFill="1" applyBorder="1" applyAlignment="1">
      <alignment horizontal="right" vertical="top"/>
    </xf>
    <xf numFmtId="4" fontId="7" fillId="11" borderId="1" xfId="0" applyNumberFormat="1" applyFont="1" applyFill="1" applyBorder="1" applyAlignment="1">
      <alignment horizontal="right" vertical="top"/>
    </xf>
    <xf numFmtId="0" fontId="7" fillId="11" borderId="1" xfId="0" applyFont="1" applyFill="1" applyBorder="1" applyAlignment="1">
      <alignment horizontal="left" vertical="top"/>
    </xf>
    <xf numFmtId="0" fontId="7" fillId="10" borderId="1" xfId="0" applyFont="1" applyFill="1" applyBorder="1" applyAlignment="1">
      <alignment horizontal="right" vertical="top"/>
    </xf>
    <xf numFmtId="0" fontId="0" fillId="0" borderId="0" xfId="0" applyAlignment="1"/>
    <xf numFmtId="0" fontId="7" fillId="5" borderId="0" xfId="0" applyFont="1" applyFill="1" applyAlignment="1">
      <alignment horizontal="center" vertical="top"/>
    </xf>
    <xf numFmtId="0" fontId="8" fillId="5" borderId="0" xfId="0" applyFont="1" applyFill="1" applyAlignment="1">
      <alignment horizontal="center" vertical="top"/>
    </xf>
    <xf numFmtId="0" fontId="4" fillId="5" borderId="0" xfId="0" applyFont="1" applyFill="1" applyAlignment="1">
      <alignment horizontal="left" vertical="top" wrapText="1"/>
    </xf>
    <xf numFmtId="0" fontId="4" fillId="5" borderId="1" xfId="0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right" vertical="top" wrapText="1"/>
    </xf>
    <xf numFmtId="4" fontId="6" fillId="3" borderId="1" xfId="0" applyNumberFormat="1" applyFont="1" applyFill="1" applyBorder="1" applyAlignment="1">
      <alignment horizontal="right" vertical="top" wrapText="1"/>
    </xf>
    <xf numFmtId="169" fontId="6" fillId="3" borderId="1" xfId="0" applyNumberFormat="1" applyFont="1" applyFill="1" applyBorder="1" applyAlignment="1">
      <alignment horizontal="right" vertical="top" wrapText="1"/>
    </xf>
    <xf numFmtId="0" fontId="6" fillId="3" borderId="37" xfId="0" applyFont="1" applyFill="1" applyBorder="1" applyAlignment="1">
      <alignment horizontal="left" vertical="top" wrapText="1"/>
    </xf>
    <xf numFmtId="0" fontId="7" fillId="10" borderId="1" xfId="0" applyFont="1" applyFill="1" applyBorder="1" applyAlignment="1">
      <alignment horizontal="left" vertical="top" wrapText="1"/>
    </xf>
    <xf numFmtId="0" fontId="7" fillId="10" borderId="1" xfId="0" applyFont="1" applyFill="1" applyBorder="1" applyAlignment="1">
      <alignment horizontal="center" vertical="top" wrapText="1"/>
    </xf>
    <xf numFmtId="0" fontId="7" fillId="10" borderId="1" xfId="0" applyFont="1" applyFill="1" applyBorder="1" applyAlignment="1">
      <alignment horizontal="right" vertical="top" wrapText="1"/>
    </xf>
    <xf numFmtId="4" fontId="7" fillId="10" borderId="1" xfId="0" applyNumberFormat="1" applyFont="1" applyFill="1" applyBorder="1" applyAlignment="1">
      <alignment horizontal="right" vertical="top" wrapText="1"/>
    </xf>
    <xf numFmtId="170" fontId="7" fillId="10" borderId="1" xfId="0" applyNumberFormat="1" applyFont="1" applyFill="1" applyBorder="1" applyAlignment="1">
      <alignment horizontal="right" vertical="top" wrapText="1"/>
    </xf>
    <xf numFmtId="169" fontId="7" fillId="10" borderId="1" xfId="0" applyNumberFormat="1" applyFont="1" applyFill="1" applyBorder="1" applyAlignment="1">
      <alignment horizontal="right" vertical="top" wrapText="1"/>
    </xf>
    <xf numFmtId="0" fontId="7" fillId="11" borderId="1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horizontal="center" vertical="top" wrapText="1"/>
    </xf>
    <xf numFmtId="0" fontId="7" fillId="11" borderId="1" xfId="0" applyFont="1" applyFill="1" applyBorder="1" applyAlignment="1">
      <alignment horizontal="right" vertical="top" wrapText="1"/>
    </xf>
    <xf numFmtId="4" fontId="7" fillId="11" borderId="1" xfId="0" applyNumberFormat="1" applyFont="1" applyFill="1" applyBorder="1" applyAlignment="1">
      <alignment horizontal="right" vertical="top" wrapText="1"/>
    </xf>
    <xf numFmtId="170" fontId="7" fillId="11" borderId="1" xfId="0" applyNumberFormat="1" applyFont="1" applyFill="1" applyBorder="1" applyAlignment="1">
      <alignment horizontal="right" vertical="top" wrapText="1"/>
    </xf>
    <xf numFmtId="169" fontId="7" fillId="11" borderId="1" xfId="0" applyNumberFormat="1" applyFont="1" applyFill="1" applyBorder="1" applyAlignment="1">
      <alignment horizontal="right" vertical="top" wrapText="1"/>
    </xf>
    <xf numFmtId="0" fontId="8" fillId="5" borderId="0" xfId="0" applyFont="1" applyFill="1" applyAlignment="1">
      <alignment horizontal="center" vertical="top" wrapText="1"/>
    </xf>
    <xf numFmtId="0" fontId="8" fillId="5" borderId="0" xfId="0" applyFont="1" applyFill="1" applyAlignment="1">
      <alignment horizontal="right" vertical="top" wrapText="1"/>
    </xf>
    <xf numFmtId="170" fontId="8" fillId="5" borderId="0" xfId="0" applyNumberFormat="1" applyFont="1" applyFill="1" applyAlignment="1">
      <alignment horizontal="right" vertical="top" wrapText="1"/>
    </xf>
    <xf numFmtId="0" fontId="7" fillId="5" borderId="0" xfId="0" applyFont="1" applyFill="1" applyAlignment="1">
      <alignment horizontal="left" vertical="top" wrapText="1"/>
    </xf>
    <xf numFmtId="0" fontId="7" fillId="5" borderId="0" xfId="0" applyFont="1" applyFill="1" applyAlignment="1">
      <alignment horizontal="center" vertical="top" wrapText="1"/>
    </xf>
    <xf numFmtId="0" fontId="7" fillId="5" borderId="0" xfId="0" applyFont="1" applyFill="1" applyAlignment="1">
      <alignment horizontal="right" vertical="top" wrapText="1"/>
    </xf>
    <xf numFmtId="4" fontId="7" fillId="5" borderId="0" xfId="0" applyNumberFormat="1" applyFont="1" applyFill="1" applyAlignment="1">
      <alignment horizontal="right" vertical="top" wrapText="1"/>
    </xf>
    <xf numFmtId="176" fontId="0" fillId="0" borderId="0" xfId="0" applyNumberFormat="1" applyAlignment="1">
      <alignment vertical="center"/>
    </xf>
    <xf numFmtId="0" fontId="37" fillId="0" borderId="0" xfId="4" applyFont="1"/>
    <xf numFmtId="0" fontId="37" fillId="0" borderId="5" xfId="5" applyFont="1" applyBorder="1"/>
    <xf numFmtId="0" fontId="37" fillId="0" borderId="0" xfId="4" applyFont="1" applyBorder="1" applyAlignment="1">
      <alignment horizontal="left"/>
    </xf>
    <xf numFmtId="0" fontId="37" fillId="0" borderId="5" xfId="4" applyFont="1" applyBorder="1"/>
    <xf numFmtId="0" fontId="37" fillId="0" borderId="0" xfId="5" applyFont="1" applyBorder="1"/>
    <xf numFmtId="0" fontId="37" fillId="0" borderId="0" xfId="4" applyFont="1" applyBorder="1"/>
    <xf numFmtId="0" fontId="37" fillId="0" borderId="6" xfId="4" applyFont="1" applyBorder="1"/>
    <xf numFmtId="0" fontId="39" fillId="5" borderId="17" xfId="0" applyFont="1" applyFill="1" applyBorder="1" applyAlignment="1">
      <alignment horizontal="left" vertical="center" wrapText="1"/>
    </xf>
    <xf numFmtId="0" fontId="39" fillId="5" borderId="19" xfId="0" applyFont="1" applyFill="1" applyBorder="1" applyAlignment="1">
      <alignment horizontal="center" vertical="center" wrapText="1"/>
    </xf>
    <xf numFmtId="0" fontId="39" fillId="5" borderId="0" xfId="0" applyFont="1" applyFill="1" applyAlignment="1">
      <alignment horizontal="left" vertical="top" wrapText="1"/>
    </xf>
    <xf numFmtId="0" fontId="39" fillId="0" borderId="0" xfId="0" applyFont="1" applyFill="1" applyAlignment="1">
      <alignment vertical="center"/>
    </xf>
    <xf numFmtId="0" fontId="39" fillId="0" borderId="0" xfId="0" applyFont="1" applyAlignment="1">
      <alignment vertical="center"/>
    </xf>
    <xf numFmtId="44" fontId="39" fillId="0" borderId="0" xfId="2" applyFont="1" applyAlignment="1">
      <alignment vertical="center"/>
    </xf>
    <xf numFmtId="0" fontId="39" fillId="5" borderId="18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left" vertical="center" wrapText="1"/>
    </xf>
    <xf numFmtId="0" fontId="18" fillId="0" borderId="0" xfId="4" applyFont="1" applyBorder="1"/>
    <xf numFmtId="0" fontId="2" fillId="0" borderId="4" xfId="9" applyBorder="1" applyAlignment="1">
      <alignment horizontal="center" vertical="center"/>
    </xf>
    <xf numFmtId="0" fontId="33" fillId="0" borderId="2" xfId="9" applyFont="1" applyBorder="1"/>
    <xf numFmtId="173" fontId="33" fillId="0" borderId="4" xfId="9" applyNumberFormat="1" applyFont="1" applyBorder="1" applyAlignment="1">
      <alignment horizontal="center" vertical="center"/>
    </xf>
    <xf numFmtId="0" fontId="33" fillId="0" borderId="5" xfId="9" applyFont="1" applyBorder="1"/>
    <xf numFmtId="0" fontId="33" fillId="0" borderId="17" xfId="9" applyFont="1" applyFill="1" applyBorder="1"/>
    <xf numFmtId="173" fontId="33" fillId="0" borderId="19" xfId="9" applyNumberFormat="1" applyFont="1" applyFill="1" applyBorder="1" applyAlignment="1">
      <alignment horizontal="center" vertical="center"/>
    </xf>
    <xf numFmtId="0" fontId="0" fillId="0" borderId="0" xfId="0"/>
    <xf numFmtId="0" fontId="7" fillId="5" borderId="0" xfId="0" applyFont="1" applyFill="1" applyAlignment="1">
      <alignment horizontal="right" vertical="top" wrapText="1"/>
    </xf>
    <xf numFmtId="0" fontId="5" fillId="2" borderId="8" xfId="0" applyFont="1" applyFill="1" applyBorder="1" applyAlignment="1">
      <alignment horizontal="center" vertical="center"/>
    </xf>
    <xf numFmtId="0" fontId="34" fillId="12" borderId="8" xfId="0" applyFont="1" applyFill="1" applyBorder="1" applyAlignment="1">
      <alignment horizontal="center"/>
    </xf>
    <xf numFmtId="0" fontId="36" fillId="2" borderId="8" xfId="0" applyFont="1" applyFill="1" applyBorder="1" applyAlignment="1">
      <alignment horizontal="center" vertical="center"/>
    </xf>
    <xf numFmtId="0" fontId="4" fillId="5" borderId="26" xfId="0" applyFont="1" applyFill="1" applyBorder="1" applyAlignment="1">
      <alignment horizontal="center" vertical="center" wrapText="1"/>
    </xf>
    <xf numFmtId="0" fontId="0" fillId="0" borderId="26" xfId="0" applyBorder="1" applyAlignment="1">
      <alignment vertical="center"/>
    </xf>
    <xf numFmtId="0" fontId="4" fillId="5" borderId="2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8" fillId="5" borderId="17" xfId="0" applyFont="1" applyFill="1" applyBorder="1" applyAlignment="1">
      <alignment horizontal="left" vertical="center" wrapText="1"/>
    </xf>
    <xf numFmtId="0" fontId="8" fillId="5" borderId="19" xfId="0" applyFont="1" applyFill="1" applyBorder="1" applyAlignment="1">
      <alignment horizontal="left" vertical="center" wrapText="1"/>
    </xf>
    <xf numFmtId="10" fontId="8" fillId="5" borderId="17" xfId="0" applyNumberFormat="1" applyFont="1" applyFill="1" applyBorder="1" applyAlignment="1">
      <alignment horizontal="left" vertical="top" wrapText="1"/>
    </xf>
    <xf numFmtId="10" fontId="8" fillId="5" borderId="19" xfId="0" applyNumberFormat="1" applyFont="1" applyFill="1" applyBorder="1" applyAlignment="1">
      <alignment horizontal="left" vertical="top" wrapText="1"/>
    </xf>
    <xf numFmtId="0" fontId="4" fillId="5" borderId="25" xfId="0" applyFont="1" applyFill="1" applyBorder="1" applyAlignment="1">
      <alignment horizontal="center" vertical="center" wrapText="1"/>
    </xf>
    <xf numFmtId="0" fontId="0" fillId="0" borderId="27" xfId="0" applyBorder="1" applyAlignment="1">
      <alignment vertical="center"/>
    </xf>
    <xf numFmtId="0" fontId="4" fillId="5" borderId="76" xfId="0" applyFont="1" applyFill="1" applyBorder="1" applyAlignment="1">
      <alignment horizontal="center" vertical="center" wrapText="1"/>
    </xf>
    <xf numFmtId="0" fontId="4" fillId="5" borderId="77" xfId="0" applyFont="1" applyFill="1" applyBorder="1" applyAlignment="1">
      <alignment horizontal="center" vertical="center" wrapText="1"/>
    </xf>
    <xf numFmtId="0" fontId="4" fillId="5" borderId="78" xfId="0" applyFont="1" applyFill="1" applyBorder="1" applyAlignment="1">
      <alignment horizontal="center" vertical="center" wrapText="1"/>
    </xf>
    <xf numFmtId="0" fontId="8" fillId="5" borderId="75" xfId="0" applyFont="1" applyFill="1" applyBorder="1" applyAlignment="1">
      <alignment horizontal="center" vertical="center" wrapText="1"/>
    </xf>
    <xf numFmtId="0" fontId="8" fillId="5" borderId="61" xfId="0" applyFont="1" applyFill="1" applyBorder="1" applyAlignment="1">
      <alignment horizontal="center" vertical="center" wrapText="1"/>
    </xf>
    <xf numFmtId="0" fontId="8" fillId="5" borderId="6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right" vertical="top" wrapText="1"/>
    </xf>
    <xf numFmtId="0" fontId="8" fillId="5" borderId="0" xfId="0" applyFont="1" applyFill="1" applyAlignment="1">
      <alignment horizontal="right" vertical="top" wrapText="1"/>
    </xf>
    <xf numFmtId="0" fontId="7" fillId="11" borderId="1" xfId="0" applyFont="1" applyFill="1" applyBorder="1" applyAlignment="1">
      <alignment horizontal="left" vertical="top" wrapText="1"/>
    </xf>
    <xf numFmtId="0" fontId="7" fillId="5" borderId="0" xfId="0" applyFont="1" applyFill="1" applyAlignment="1">
      <alignment horizontal="right" vertical="top" wrapText="1"/>
    </xf>
    <xf numFmtId="0" fontId="4" fillId="5" borderId="1" xfId="0" applyFont="1" applyFill="1" applyBorder="1" applyAlignment="1">
      <alignment horizontal="left" vertical="top" wrapText="1"/>
    </xf>
    <xf numFmtId="0" fontId="7" fillId="10" borderId="1" xfId="0" applyFont="1" applyFill="1" applyBorder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8" fillId="5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center" wrapText="1"/>
    </xf>
    <xf numFmtId="0" fontId="0" fillId="0" borderId="0" xfId="0"/>
    <xf numFmtId="0" fontId="6" fillId="3" borderId="1" xfId="0" applyFont="1" applyFill="1" applyBorder="1" applyAlignment="1">
      <alignment horizontal="left" vertical="top" wrapText="1"/>
    </xf>
    <xf numFmtId="170" fontId="7" fillId="10" borderId="1" xfId="0" applyNumberFormat="1" applyFont="1" applyFill="1" applyBorder="1" applyAlignment="1">
      <alignment horizontal="right" vertical="top" wrapText="1"/>
    </xf>
    <xf numFmtId="0" fontId="4" fillId="5" borderId="1" xfId="0" applyFont="1" applyFill="1" applyBorder="1" applyAlignment="1">
      <alignment horizontal="center" vertical="top" wrapText="1"/>
    </xf>
    <xf numFmtId="170" fontId="7" fillId="11" borderId="1" xfId="0" applyNumberFormat="1" applyFont="1" applyFill="1" applyBorder="1" applyAlignment="1">
      <alignment horizontal="right" vertical="top" wrapText="1"/>
    </xf>
    <xf numFmtId="4" fontId="8" fillId="5" borderId="0" xfId="0" applyNumberFormat="1" applyFont="1" applyFill="1" applyAlignment="1">
      <alignment horizontal="right" vertical="top" wrapText="1"/>
    </xf>
    <xf numFmtId="0" fontId="7" fillId="5" borderId="0" xfId="0" applyFont="1" applyFill="1" applyAlignment="1">
      <alignment horizontal="center" vertical="top" wrapText="1"/>
    </xf>
    <xf numFmtId="0" fontId="4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top" wrapText="1"/>
    </xf>
    <xf numFmtId="0" fontId="8" fillId="5" borderId="0" xfId="0" applyFont="1" applyFill="1" applyBorder="1" applyAlignment="1">
      <alignment horizontal="left" vertical="top" wrapText="1"/>
    </xf>
    <xf numFmtId="0" fontId="8" fillId="5" borderId="17" xfId="0" applyFont="1" applyFill="1" applyBorder="1" applyAlignment="1">
      <alignment horizontal="left" vertical="top" wrapText="1"/>
    </xf>
    <xf numFmtId="0" fontId="8" fillId="5" borderId="18" xfId="0" applyFont="1" applyFill="1" applyBorder="1" applyAlignment="1">
      <alignment horizontal="left" vertical="top" wrapText="1"/>
    </xf>
    <xf numFmtId="0" fontId="39" fillId="5" borderId="18" xfId="0" applyFont="1" applyFill="1" applyBorder="1" applyAlignment="1">
      <alignment horizontal="left" vertical="top" wrapText="1"/>
    </xf>
    <xf numFmtId="0" fontId="8" fillId="5" borderId="19" xfId="0" applyFont="1" applyFill="1" applyBorder="1" applyAlignment="1">
      <alignment horizontal="left" vertical="top" wrapText="1"/>
    </xf>
    <xf numFmtId="0" fontId="8" fillId="5" borderId="2" xfId="0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left" vertical="top" wrapText="1"/>
    </xf>
    <xf numFmtId="0" fontId="4" fillId="5" borderId="63" xfId="0" applyFont="1" applyFill="1" applyBorder="1" applyAlignment="1">
      <alignment horizontal="center" wrapText="1"/>
    </xf>
    <xf numFmtId="0" fontId="4" fillId="5" borderId="64" xfId="0" applyFont="1" applyFill="1" applyBorder="1" applyAlignment="1">
      <alignment horizontal="center" wrapText="1"/>
    </xf>
    <xf numFmtId="0" fontId="4" fillId="5" borderId="65" xfId="0" applyFont="1" applyFill="1" applyBorder="1" applyAlignment="1">
      <alignment horizontal="center" wrapText="1"/>
    </xf>
    <xf numFmtId="0" fontId="5" fillId="2" borderId="54" xfId="0" applyFont="1" applyFill="1" applyBorder="1" applyAlignment="1">
      <alignment horizontal="center" vertical="center" wrapText="1"/>
    </xf>
    <xf numFmtId="0" fontId="5" fillId="2" borderId="58" xfId="0" applyFont="1" applyFill="1" applyBorder="1" applyAlignment="1">
      <alignment horizontal="center" vertical="center" wrapText="1"/>
    </xf>
    <xf numFmtId="0" fontId="5" fillId="2" borderId="55" xfId="0" applyFont="1" applyFill="1" applyBorder="1" applyAlignment="1">
      <alignment horizontal="left" vertical="top" wrapText="1"/>
    </xf>
    <xf numFmtId="0" fontId="5" fillId="2" borderId="59" xfId="0" applyFont="1" applyFill="1" applyBorder="1" applyAlignment="1">
      <alignment horizontal="left" vertical="top" wrapText="1"/>
    </xf>
    <xf numFmtId="0" fontId="5" fillId="0" borderId="54" xfId="0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left" vertical="top" wrapText="1"/>
    </xf>
    <xf numFmtId="0" fontId="5" fillId="0" borderId="59" xfId="0" applyFont="1" applyBorder="1" applyAlignment="1">
      <alignment horizontal="left" vertical="top" wrapText="1"/>
    </xf>
    <xf numFmtId="0" fontId="30" fillId="8" borderId="0" xfId="0" applyFont="1" applyFill="1" applyAlignment="1">
      <alignment horizontal="left"/>
    </xf>
    <xf numFmtId="0" fontId="30" fillId="8" borderId="0" xfId="0" applyFont="1" applyFill="1" applyAlignment="1">
      <alignment horizontal="left" vertical="top"/>
    </xf>
    <xf numFmtId="0" fontId="10" fillId="8" borderId="0" xfId="0" applyFont="1" applyFill="1" applyAlignment="1">
      <alignment horizontal="left"/>
    </xf>
    <xf numFmtId="0" fontId="10" fillId="8" borderId="0" xfId="0" applyFont="1" applyFill="1" applyAlignment="1">
      <alignment horizontal="left" wrapText="1"/>
    </xf>
    <xf numFmtId="0" fontId="10" fillId="8" borderId="0" xfId="0" applyFont="1" applyFill="1" applyAlignment="1">
      <alignment horizontal="left" vertical="top"/>
    </xf>
    <xf numFmtId="0" fontId="11" fillId="0" borderId="0" xfId="4" applyFill="1" applyBorder="1" applyAlignment="1">
      <alignment horizontal="left" vertical="center" wrapText="1"/>
    </xf>
    <xf numFmtId="0" fontId="11" fillId="0" borderId="0" xfId="4" applyBorder="1" applyAlignment="1">
      <alignment horizontal="center" vertical="center" wrapText="1"/>
    </xf>
    <xf numFmtId="0" fontId="22" fillId="0" borderId="45" xfId="8" applyFont="1" applyBorder="1" applyAlignment="1">
      <alignment horizontal="center"/>
    </xf>
    <xf numFmtId="0" fontId="22" fillId="0" borderId="21" xfId="8" applyFont="1" applyBorder="1" applyAlignment="1">
      <alignment horizontal="center"/>
    </xf>
    <xf numFmtId="0" fontId="28" fillId="6" borderId="5" xfId="8" applyFont="1" applyFill="1" applyBorder="1" applyAlignment="1">
      <alignment horizontal="right"/>
    </xf>
    <xf numFmtId="0" fontId="28" fillId="6" borderId="0" xfId="8" applyFont="1" applyFill="1" applyBorder="1" applyAlignment="1">
      <alignment horizontal="right"/>
    </xf>
    <xf numFmtId="49" fontId="38" fillId="0" borderId="5" xfId="8" applyNumberFormat="1" applyFont="1" applyBorder="1" applyAlignment="1">
      <alignment horizontal="center" vertical="top" wrapText="1"/>
    </xf>
    <xf numFmtId="49" fontId="38" fillId="0" borderId="0" xfId="8" applyNumberFormat="1" applyFont="1" applyBorder="1" applyAlignment="1">
      <alignment horizontal="center" vertical="top" wrapText="1"/>
    </xf>
    <xf numFmtId="49" fontId="40" fillId="0" borderId="0" xfId="8" applyNumberFormat="1" applyFont="1" applyBorder="1" applyAlignment="1">
      <alignment horizontal="center" vertical="top" wrapText="1"/>
    </xf>
    <xf numFmtId="49" fontId="21" fillId="0" borderId="0" xfId="8" applyNumberFormat="1" applyFont="1" applyBorder="1" applyAlignment="1">
      <alignment horizontal="center" vertical="top" wrapText="1"/>
    </xf>
    <xf numFmtId="49" fontId="21" fillId="0" borderId="6" xfId="8" applyNumberFormat="1" applyFont="1" applyBorder="1" applyAlignment="1">
      <alignment horizontal="center" vertical="top" wrapText="1"/>
    </xf>
    <xf numFmtId="49" fontId="21" fillId="0" borderId="5" xfId="8" applyNumberFormat="1" applyFont="1" applyBorder="1" applyAlignment="1">
      <alignment horizontal="center" vertical="center" wrapText="1"/>
    </xf>
    <xf numFmtId="49" fontId="21" fillId="0" borderId="0" xfId="8" applyNumberFormat="1" applyFont="1" applyBorder="1" applyAlignment="1">
      <alignment horizontal="center" vertical="center" wrapText="1"/>
    </xf>
    <xf numFmtId="49" fontId="21" fillId="0" borderId="6" xfId="8" applyNumberFormat="1" applyFont="1" applyBorder="1" applyAlignment="1">
      <alignment horizontal="center" vertical="center" wrapText="1"/>
    </xf>
    <xf numFmtId="0" fontId="22" fillId="0" borderId="7" xfId="8" applyFont="1" applyBorder="1" applyAlignment="1">
      <alignment horizontal="center" vertical="center" wrapText="1"/>
    </xf>
    <xf numFmtId="0" fontId="22" fillId="0" borderId="8" xfId="8" applyFont="1" applyBorder="1" applyAlignment="1">
      <alignment horizontal="center" vertical="center" wrapText="1"/>
    </xf>
    <xf numFmtId="0" fontId="22" fillId="0" borderId="9" xfId="8" applyFont="1" applyBorder="1" applyAlignment="1">
      <alignment horizontal="center" vertical="center" wrapText="1"/>
    </xf>
    <xf numFmtId="0" fontId="22" fillId="0" borderId="5" xfId="4" applyFont="1" applyBorder="1" applyAlignment="1">
      <alignment horizontal="center" vertical="center" wrapText="1"/>
    </xf>
    <xf numFmtId="0" fontId="22" fillId="0" borderId="0" xfId="4" applyFont="1" applyBorder="1" applyAlignment="1">
      <alignment horizontal="center" vertical="center" wrapText="1"/>
    </xf>
    <xf numFmtId="0" fontId="22" fillId="0" borderId="6" xfId="4" applyFont="1" applyBorder="1" applyAlignment="1">
      <alignment horizontal="center" vertical="center" wrapText="1"/>
    </xf>
    <xf numFmtId="0" fontId="24" fillId="0" borderId="5" xfId="4" applyFont="1" applyBorder="1" applyAlignment="1">
      <alignment horizontal="left" vertical="center"/>
    </xf>
    <xf numFmtId="0" fontId="24" fillId="0" borderId="0" xfId="4" applyFont="1" applyBorder="1" applyAlignment="1">
      <alignment horizontal="left" vertical="center"/>
    </xf>
    <xf numFmtId="0" fontId="28" fillId="0" borderId="5" xfId="8" applyFont="1" applyBorder="1" applyAlignment="1">
      <alignment horizontal="right"/>
    </xf>
    <xf numFmtId="0" fontId="28" fillId="0" borderId="0" xfId="8" applyFont="1" applyBorder="1" applyAlignment="1">
      <alignment horizontal="right"/>
    </xf>
    <xf numFmtId="0" fontId="24" fillId="0" borderId="47" xfId="4" applyFont="1" applyBorder="1" applyAlignment="1">
      <alignment horizontal="center"/>
    </xf>
    <xf numFmtId="0" fontId="24" fillId="0" borderId="22" xfId="4" applyFont="1" applyBorder="1" applyAlignment="1">
      <alignment horizontal="center"/>
    </xf>
    <xf numFmtId="0" fontId="24" fillId="0" borderId="48" xfId="4" applyFont="1" applyBorder="1" applyAlignment="1">
      <alignment horizontal="center"/>
    </xf>
    <xf numFmtId="0" fontId="13" fillId="0" borderId="11" xfId="4" applyFont="1" applyBorder="1" applyAlignment="1">
      <alignment horizontal="center"/>
    </xf>
    <xf numFmtId="0" fontId="13" fillId="0" borderId="12" xfId="4" applyFont="1" applyBorder="1" applyAlignment="1">
      <alignment horizontal="center"/>
    </xf>
    <xf numFmtId="0" fontId="12" fillId="0" borderId="15" xfId="4" applyFont="1" applyBorder="1" applyAlignment="1">
      <alignment horizontal="left"/>
    </xf>
    <xf numFmtId="0" fontId="12" fillId="0" borderId="16" xfId="4" applyFont="1" applyBorder="1" applyAlignment="1">
      <alignment horizontal="left"/>
    </xf>
    <xf numFmtId="0" fontId="14" fillId="0" borderId="0" xfId="4" applyFont="1" applyAlignment="1">
      <alignment horizontal="left" wrapText="1"/>
    </xf>
    <xf numFmtId="0" fontId="17" fillId="6" borderId="7" xfId="4" applyFont="1" applyFill="1" applyBorder="1" applyAlignment="1">
      <alignment horizontal="center"/>
    </xf>
    <xf numFmtId="0" fontId="17" fillId="6" borderId="8" xfId="4" applyFont="1" applyFill="1" applyBorder="1" applyAlignment="1">
      <alignment horizontal="center"/>
    </xf>
    <xf numFmtId="0" fontId="17" fillId="6" borderId="9" xfId="4" applyFont="1" applyFill="1" applyBorder="1" applyAlignment="1">
      <alignment horizontal="center"/>
    </xf>
    <xf numFmtId="0" fontId="17" fillId="0" borderId="11" xfId="4" applyFont="1" applyBorder="1" applyAlignment="1">
      <alignment horizontal="center"/>
    </xf>
    <xf numFmtId="0" fontId="17" fillId="0" borderId="12" xfId="4" applyFont="1" applyBorder="1" applyAlignment="1">
      <alignment horizontal="center"/>
    </xf>
    <xf numFmtId="0" fontId="13" fillId="0" borderId="7" xfId="4" applyFont="1" applyBorder="1" applyAlignment="1">
      <alignment horizontal="center"/>
    </xf>
    <xf numFmtId="0" fontId="13" fillId="0" borderId="8" xfId="4" applyFont="1" applyBorder="1" applyAlignment="1">
      <alignment horizontal="center"/>
    </xf>
    <xf numFmtId="0" fontId="13" fillId="0" borderId="9" xfId="4" applyFont="1" applyBorder="1" applyAlignment="1">
      <alignment horizontal="center"/>
    </xf>
    <xf numFmtId="0" fontId="13" fillId="0" borderId="7" xfId="4" applyFont="1" applyBorder="1" applyAlignment="1">
      <alignment horizontal="left" vertical="top" wrapText="1"/>
    </xf>
    <xf numFmtId="0" fontId="13" fillId="0" borderId="8" xfId="4" applyFont="1" applyBorder="1" applyAlignment="1">
      <alignment horizontal="left" vertical="top" wrapText="1"/>
    </xf>
    <xf numFmtId="0" fontId="13" fillId="0" borderId="9" xfId="4" applyFont="1" applyBorder="1" applyAlignment="1">
      <alignment horizontal="left" vertical="top" wrapText="1"/>
    </xf>
    <xf numFmtId="0" fontId="13" fillId="0" borderId="7" xfId="4" applyFont="1" applyBorder="1" applyAlignment="1">
      <alignment horizontal="left" vertical="center" wrapText="1"/>
    </xf>
    <xf numFmtId="0" fontId="13" fillId="0" borderId="8" xfId="4" applyFont="1" applyBorder="1" applyAlignment="1">
      <alignment horizontal="left" vertical="center" wrapText="1"/>
    </xf>
    <xf numFmtId="0" fontId="13" fillId="0" borderId="9" xfId="4" applyFont="1" applyBorder="1" applyAlignment="1">
      <alignment horizontal="left" vertical="center" wrapText="1"/>
    </xf>
    <xf numFmtId="0" fontId="33" fillId="0" borderId="43" xfId="9" applyFont="1" applyBorder="1" applyAlignment="1">
      <alignment horizontal="center" vertical="center"/>
    </xf>
    <xf numFmtId="0" fontId="33" fillId="0" borderId="49" xfId="9" applyFont="1" applyBorder="1" applyAlignment="1">
      <alignment horizontal="center" vertical="center"/>
    </xf>
    <xf numFmtId="173" fontId="33" fillId="0" borderId="66" xfId="9" applyNumberFormat="1" applyFont="1" applyBorder="1" applyAlignment="1">
      <alignment horizontal="center" vertical="center"/>
    </xf>
    <xf numFmtId="173" fontId="33" fillId="0" borderId="67" xfId="9" applyNumberFormat="1" applyFont="1" applyBorder="1" applyAlignment="1">
      <alignment horizontal="center" vertical="center"/>
    </xf>
    <xf numFmtId="0" fontId="33" fillId="0" borderId="17" xfId="9" applyFont="1" applyBorder="1" applyAlignment="1">
      <alignment horizontal="center"/>
    </xf>
    <xf numFmtId="0" fontId="33" fillId="0" borderId="18" xfId="9" applyFont="1" applyBorder="1" applyAlignment="1">
      <alignment horizontal="center"/>
    </xf>
    <xf numFmtId="0" fontId="33" fillId="0" borderId="19" xfId="9" applyFont="1" applyBorder="1" applyAlignment="1">
      <alignment horizontal="center"/>
    </xf>
    <xf numFmtId="0" fontId="18" fillId="0" borderId="3" xfId="4" applyFont="1" applyBorder="1" applyAlignment="1">
      <alignment horizontal="left" wrapText="1"/>
    </xf>
    <xf numFmtId="0" fontId="18" fillId="0" borderId="0" xfId="4" applyFont="1" applyBorder="1" applyAlignment="1">
      <alignment horizontal="left" wrapText="1"/>
    </xf>
    <xf numFmtId="0" fontId="37" fillId="0" borderId="0" xfId="4" applyFont="1" applyBorder="1" applyAlignment="1">
      <alignment horizontal="left" wrapText="1"/>
    </xf>
    <xf numFmtId="0" fontId="18" fillId="0" borderId="18" xfId="4" applyFont="1" applyBorder="1" applyAlignment="1">
      <alignment horizontal="left" wrapText="1"/>
    </xf>
    <xf numFmtId="0" fontId="13" fillId="0" borderId="2" xfId="4" applyFont="1" applyBorder="1" applyAlignment="1">
      <alignment horizontal="center"/>
    </xf>
    <xf numFmtId="0" fontId="13" fillId="0" borderId="3" xfId="4" applyFont="1" applyBorder="1" applyAlignment="1">
      <alignment horizontal="center"/>
    </xf>
    <xf numFmtId="0" fontId="13" fillId="0" borderId="4" xfId="4" applyFont="1" applyBorder="1" applyAlignment="1">
      <alignment horizontal="center"/>
    </xf>
    <xf numFmtId="0" fontId="13" fillId="0" borderId="5" xfId="4" applyFont="1" applyBorder="1" applyAlignment="1">
      <alignment horizontal="center" vertical="top" wrapText="1"/>
    </xf>
    <xf numFmtId="0" fontId="13" fillId="0" borderId="0" xfId="4" applyFont="1" applyBorder="1" applyAlignment="1">
      <alignment horizontal="center" vertical="top" wrapText="1"/>
    </xf>
    <xf numFmtId="0" fontId="13" fillId="0" borderId="6" xfId="4" applyFont="1" applyBorder="1" applyAlignment="1">
      <alignment horizontal="center" vertical="top" wrapText="1"/>
    </xf>
    <xf numFmtId="0" fontId="33" fillId="0" borderId="5" xfId="9" applyFont="1" applyBorder="1" applyAlignment="1">
      <alignment horizontal="center"/>
    </xf>
    <xf numFmtId="0" fontId="33" fillId="0" borderId="0" xfId="9" applyFont="1" applyBorder="1" applyAlignment="1">
      <alignment horizontal="center"/>
    </xf>
    <xf numFmtId="0" fontId="33" fillId="0" borderId="6" xfId="9" applyFont="1" applyBorder="1" applyAlignment="1">
      <alignment horizontal="center"/>
    </xf>
    <xf numFmtId="0" fontId="7" fillId="5" borderId="79" xfId="0" applyFont="1" applyFill="1" applyBorder="1" applyAlignment="1">
      <alignment horizontal="center" vertical="center" wrapText="1"/>
    </xf>
    <xf numFmtId="43" fontId="7" fillId="5" borderId="0" xfId="0" applyNumberFormat="1" applyFont="1" applyFill="1" applyAlignment="1">
      <alignment horizontal="center" vertical="center" wrapText="1"/>
    </xf>
    <xf numFmtId="0" fontId="28" fillId="5" borderId="0" xfId="0" applyFont="1" applyFill="1" applyAlignment="1">
      <alignment horizontal="right" vertical="top" wrapText="1"/>
    </xf>
    <xf numFmtId="4" fontId="28" fillId="5" borderId="0" xfId="0" applyNumberFormat="1" applyFont="1" applyFill="1" applyAlignment="1">
      <alignment horizontal="right" vertical="top" wrapText="1"/>
    </xf>
  </cellXfs>
  <cellStyles count="11">
    <cellStyle name="Moeda" xfId="2" builtinId="4"/>
    <cellStyle name="Moeda 2" xfId="6" xr:uid="{00000000-0005-0000-0000-000001000000}"/>
    <cellStyle name="Normal" xfId="0" builtinId="0"/>
    <cellStyle name="Normal 11" xfId="8" xr:uid="{00000000-0005-0000-0000-000003000000}"/>
    <cellStyle name="Normal 2" xfId="4" xr:uid="{00000000-0005-0000-0000-000004000000}"/>
    <cellStyle name="Normal 2 2" xfId="5" xr:uid="{00000000-0005-0000-0000-000005000000}"/>
    <cellStyle name="Normal 4" xfId="9" xr:uid="{C86CFFA0-E81C-47A7-B9C9-0922DF4D2785}"/>
    <cellStyle name="Porcentagem" xfId="3" builtinId="5"/>
    <cellStyle name="Vírgula" xfId="1" builtinId="3"/>
    <cellStyle name="Vírgula 2" xfId="10" xr:uid="{F3A39C77-65B4-4DC7-8856-0E639AD0CEC6}"/>
    <cellStyle name="Vírgula 3" xfId="7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1174374</xdr:colOff>
      <xdr:row>0</xdr:row>
      <xdr:rowOff>88211</xdr:rowOff>
    </xdr:from>
    <xdr:to>
      <xdr:col>5</xdr:col>
      <xdr:colOff>536300</xdr:colOff>
      <xdr:row>0</xdr:row>
      <xdr:rowOff>720587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8B8412B4-BB50-4260-8388-5505507EE1AB}"/>
            </a:ext>
          </a:extLst>
        </xdr:cNvPr>
        <xdr:cNvSpPr txBox="1"/>
      </xdr:nvSpPr>
      <xdr:spPr>
        <a:xfrm>
          <a:off x="2745999" y="88211"/>
          <a:ext cx="4324451" cy="6323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900"/>
            </a:lnSpc>
          </a:pP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6ª</a:t>
          </a:r>
          <a:r>
            <a:rPr lang="pt-BR" sz="1000" b="1" baseline="0"/>
            <a:t> Superintendência Regional</a:t>
          </a:r>
          <a:r>
            <a:rPr lang="pt-BR" sz="1000" b="1"/>
            <a:t>-Juazeiro-BA	</a:t>
          </a:r>
        </a:p>
      </xdr:txBody>
    </xdr:sp>
    <xdr:clientData/>
  </xdr:twoCellAnchor>
  <xdr:twoCellAnchor>
    <xdr:from>
      <xdr:col>0</xdr:col>
      <xdr:colOff>227358</xdr:colOff>
      <xdr:row>0</xdr:row>
      <xdr:rowOff>161511</xdr:rowOff>
    </xdr:from>
    <xdr:to>
      <xdr:col>1</xdr:col>
      <xdr:colOff>583240</xdr:colOff>
      <xdr:row>0</xdr:row>
      <xdr:rowOff>632960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9FFBF214-45C6-4F59-982B-5EA4CB74E6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358" y="161511"/>
          <a:ext cx="1927507" cy="4714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44823</xdr:colOff>
      <xdr:row>0</xdr:row>
      <xdr:rowOff>118389</xdr:rowOff>
    </xdr:from>
    <xdr:to>
      <xdr:col>2</xdr:col>
      <xdr:colOff>896471</xdr:colOff>
      <xdr:row>1</xdr:row>
      <xdr:rowOff>446326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FDC41C7-FBF1-5999-6ED8-2C1EC644AC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823" y="118389"/>
          <a:ext cx="2375648" cy="51843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52917</xdr:colOff>
      <xdr:row>0</xdr:row>
      <xdr:rowOff>61544</xdr:rowOff>
    </xdr:from>
    <xdr:to>
      <xdr:col>1</xdr:col>
      <xdr:colOff>899583</xdr:colOff>
      <xdr:row>1</xdr:row>
      <xdr:rowOff>222103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F2C6815-3711-427B-B7C2-1ED027492A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917" y="61544"/>
          <a:ext cx="1608666" cy="3510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73398</xdr:colOff>
      <xdr:row>0</xdr:row>
      <xdr:rowOff>117542</xdr:rowOff>
    </xdr:from>
    <xdr:to>
      <xdr:col>1</xdr:col>
      <xdr:colOff>1914525</xdr:colOff>
      <xdr:row>1</xdr:row>
      <xdr:rowOff>503476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8B015CF-2BC9-42CB-864C-9CBE81A588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398" y="117542"/>
          <a:ext cx="2422152" cy="57643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142875</xdr:rowOff>
    </xdr:from>
    <xdr:to>
      <xdr:col>11</xdr:col>
      <xdr:colOff>200025</xdr:colOff>
      <xdr:row>3</xdr:row>
      <xdr:rowOff>104775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47625" y="142875"/>
          <a:ext cx="10010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1</xdr:row>
      <xdr:rowOff>19050</xdr:rowOff>
    </xdr:from>
    <xdr:to>
      <xdr:col>1</xdr:col>
      <xdr:colOff>1504950</xdr:colOff>
      <xdr:row>2</xdr:row>
      <xdr:rowOff>180975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0975"/>
          <a:ext cx="19526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0</xdr:row>
      <xdr:rowOff>64554</xdr:rowOff>
    </xdr:from>
    <xdr:to>
      <xdr:col>2</xdr:col>
      <xdr:colOff>187078</xdr:colOff>
      <xdr:row>2</xdr:row>
      <xdr:rowOff>152400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6" y="64554"/>
          <a:ext cx="2330202" cy="411696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0</xdr:col>
      <xdr:colOff>771525</xdr:colOff>
      <xdr:row>0</xdr:row>
      <xdr:rowOff>19050</xdr:rowOff>
    </xdr:from>
    <xdr:to>
      <xdr:col>6</xdr:col>
      <xdr:colOff>154081</xdr:colOff>
      <xdr:row>3</xdr:row>
      <xdr:rowOff>122583</xdr:rowOff>
    </xdr:to>
    <xdr:sp macro="" textlink="" fLocksText="0">
      <xdr:nvSpPr>
        <xdr:cNvPr id="3" name="Text Box 5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771525" y="19050"/>
          <a:ext cx="5954806" cy="589308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          Ministério do Desenvolvimento Regional - MDR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         Companhia de Desenvolvimento dos Vales do São Francisco e do Parnaíba                   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         6ªGRD/UEP - 6ª Superintendência Regional </a:t>
          </a:r>
        </a:p>
      </xdr:txBody>
    </xdr:sp>
    <xdr:clientData/>
  </xdr:twoCellAnchor>
  <xdr:twoCellAnchor editAs="oneCell">
    <xdr:from>
      <xdr:col>0</xdr:col>
      <xdr:colOff>15875</xdr:colOff>
      <xdr:row>15</xdr:row>
      <xdr:rowOff>114300</xdr:rowOff>
    </xdr:from>
    <xdr:to>
      <xdr:col>6</xdr:col>
      <xdr:colOff>1038225</xdr:colOff>
      <xdr:row>34</xdr:row>
      <xdr:rowOff>111125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D629834-EA1D-E942-8758-A6743164A9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875" y="3009900"/>
          <a:ext cx="7594600" cy="3073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65691</xdr:colOff>
      <xdr:row>0</xdr:row>
      <xdr:rowOff>78828</xdr:rowOff>
    </xdr:from>
    <xdr:to>
      <xdr:col>1</xdr:col>
      <xdr:colOff>1671665</xdr:colOff>
      <xdr:row>2</xdr:row>
      <xdr:rowOff>143469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43900E79-A82F-4097-8B4A-2B433FEBC0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1491" y="78828"/>
          <a:ext cx="1605974" cy="407541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AD.GEP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  <sheetName val="serviç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  <sheetName val="pro-08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Auxiliar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Insumos"/>
      <sheetName val="QuQuant"/>
      <sheetName val="Tabela Abril 2000"/>
      <sheetName val="TABELA"/>
      <sheetName val="PSCEGERAL"/>
      <sheetName val="Dados"/>
      <sheetName val="Planilha"/>
      <sheetName val="PQ"/>
      <sheetName val="Analítico CCU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2390D-E47A-40B4-B619-652E81091658}">
  <dimension ref="A1:I10"/>
  <sheetViews>
    <sheetView tabSelected="1" view="pageBreakPreview" zoomScale="115" zoomScaleNormal="100" zoomScaleSheetLayoutView="115" workbookViewId="0">
      <selection activeCell="E4" sqref="E4"/>
    </sheetView>
  </sheetViews>
  <sheetFormatPr defaultRowHeight="14.25" x14ac:dyDescent="0.2"/>
  <cols>
    <col min="1" max="1" width="20.625" style="58" customWidth="1"/>
    <col min="2" max="2" width="30.5" style="58" bestFit="1" customWidth="1"/>
    <col min="3" max="3" width="9" style="58"/>
    <col min="4" max="4" width="16.625" style="58" bestFit="1" customWidth="1"/>
    <col min="5" max="8" width="9" style="58"/>
    <col min="9" max="9" width="12.5" style="58" bestFit="1" customWidth="1"/>
    <col min="10" max="16384" width="9" style="58"/>
  </cols>
  <sheetData>
    <row r="1" spans="1:9" ht="61.5" customHeight="1" x14ac:dyDescent="0.2"/>
    <row r="2" spans="1:9" s="125" customFormat="1" ht="30" customHeight="1" x14ac:dyDescent="0.2">
      <c r="A2" s="346" t="s">
        <v>869</v>
      </c>
      <c r="B2" s="346"/>
      <c r="C2" s="346"/>
      <c r="D2" s="346"/>
      <c r="E2" s="346"/>
      <c r="F2" s="346"/>
      <c r="G2" s="346"/>
    </row>
    <row r="3" spans="1:9" s="125" customFormat="1" ht="30" customHeight="1" x14ac:dyDescent="0.2">
      <c r="A3" s="344" t="s">
        <v>1024</v>
      </c>
      <c r="B3" s="344"/>
      <c r="C3" s="344"/>
      <c r="D3" s="344"/>
      <c r="E3" s="344"/>
      <c r="F3" s="344"/>
      <c r="G3" s="344"/>
    </row>
    <row r="5" spans="1:9" ht="15" x14ac:dyDescent="0.25">
      <c r="A5" s="345" t="s">
        <v>693</v>
      </c>
      <c r="B5" s="345"/>
      <c r="C5" s="345"/>
      <c r="D5" s="345"/>
      <c r="E5" s="345"/>
      <c r="F5" s="345"/>
      <c r="G5" s="345"/>
    </row>
    <row r="6" spans="1:9" x14ac:dyDescent="0.2">
      <c r="A6" s="126"/>
      <c r="B6" s="126" t="s">
        <v>653</v>
      </c>
      <c r="C6" s="126"/>
      <c r="D6" s="127">
        <f>+'CAPA EM CBUQ'!I5</f>
        <v>33153120</v>
      </c>
      <c r="E6" s="126"/>
      <c r="F6" s="126"/>
      <c r="G6" s="126"/>
      <c r="I6" s="172"/>
    </row>
    <row r="7" spans="1:9" x14ac:dyDescent="0.2">
      <c r="A7" s="126"/>
      <c r="B7" s="126" t="s">
        <v>654</v>
      </c>
      <c r="C7" s="126"/>
      <c r="D7" s="128">
        <f>7*2000*'CAPA EM CBUQ'!L5</f>
        <v>420000</v>
      </c>
      <c r="E7" s="126"/>
      <c r="F7" s="126"/>
      <c r="G7" s="126"/>
    </row>
    <row r="8" spans="1:9" x14ac:dyDescent="0.2">
      <c r="A8" s="129"/>
      <c r="B8" s="129" t="s">
        <v>655</v>
      </c>
      <c r="C8" s="129"/>
      <c r="D8" s="130">
        <f>+D6/D7</f>
        <v>78.936000000000007</v>
      </c>
      <c r="E8" s="129"/>
      <c r="F8" s="129"/>
      <c r="G8" s="129"/>
      <c r="I8" s="171"/>
    </row>
    <row r="9" spans="1:9" x14ac:dyDescent="0.2">
      <c r="D9" s="131"/>
      <c r="I9" s="172"/>
    </row>
    <row r="10" spans="1:9" x14ac:dyDescent="0.2">
      <c r="I10" s="131"/>
    </row>
  </sheetData>
  <mergeCells count="3">
    <mergeCell ref="A3:G3"/>
    <mergeCell ref="A5:G5"/>
    <mergeCell ref="A2:G2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4580A-047A-419C-8A3D-F5632CE7E82F}">
  <dimension ref="A1:U44"/>
  <sheetViews>
    <sheetView tabSelected="1" showOutlineSymbols="0" showWhiteSpace="0" view="pageBreakPreview" zoomScale="80" zoomScaleNormal="85" zoomScaleSheetLayoutView="80" workbookViewId="0">
      <selection activeCell="E4" sqref="E4"/>
    </sheetView>
  </sheetViews>
  <sheetFormatPr defaultRowHeight="14.25" x14ac:dyDescent="0.2"/>
  <cols>
    <col min="1" max="1" width="10" style="125" bestFit="1" customWidth="1"/>
    <col min="2" max="2" width="10" style="183" bestFit="1" customWidth="1"/>
    <col min="3" max="3" width="13.25" style="183" bestFit="1" customWidth="1"/>
    <col min="4" max="4" width="60" style="125" bestFit="1" customWidth="1"/>
    <col min="5" max="5" width="8" style="125" bestFit="1" customWidth="1"/>
    <col min="6" max="6" width="19" style="125" bestFit="1" customWidth="1"/>
    <col min="7" max="8" width="13" style="125" bestFit="1" customWidth="1"/>
    <col min="9" max="9" width="18" style="125" bestFit="1" customWidth="1"/>
    <col min="10" max="10" width="0" style="125" hidden="1" customWidth="1"/>
    <col min="11" max="11" width="16.75" style="139" hidden="1" customWidth="1"/>
    <col min="12" max="12" width="18.75" style="139" hidden="1" customWidth="1"/>
    <col min="13" max="13" width="20.125" style="125" hidden="1" customWidth="1"/>
    <col min="14" max="14" width="24.125" style="125" hidden="1" customWidth="1"/>
    <col min="15" max="15" width="10.875" style="125" hidden="1" customWidth="1"/>
    <col min="16" max="16" width="0" style="125" hidden="1" customWidth="1"/>
    <col min="17" max="20" width="9" style="125"/>
    <col min="21" max="21" width="14.375" style="125" customWidth="1"/>
    <col min="22" max="16384" width="9" style="125"/>
  </cols>
  <sheetData>
    <row r="1" spans="1:21" ht="15" x14ac:dyDescent="0.2">
      <c r="A1" s="176"/>
      <c r="B1" s="191"/>
      <c r="C1" s="191"/>
      <c r="D1" s="178" t="s">
        <v>694</v>
      </c>
      <c r="E1" s="349" t="s">
        <v>0</v>
      </c>
      <c r="F1" s="350"/>
      <c r="G1" s="349" t="s">
        <v>1</v>
      </c>
      <c r="H1" s="350"/>
      <c r="I1" s="177" t="s">
        <v>2</v>
      </c>
    </row>
    <row r="2" spans="1:21" ht="48.75" customHeight="1" thickBot="1" x14ac:dyDescent="0.25">
      <c r="A2" s="327"/>
      <c r="B2" s="333"/>
      <c r="C2" s="333"/>
      <c r="D2" s="334" t="s">
        <v>871</v>
      </c>
      <c r="E2" s="351" t="s">
        <v>857</v>
      </c>
      <c r="F2" s="352"/>
      <c r="G2" s="353">
        <v>0.23699999999999999</v>
      </c>
      <c r="H2" s="354"/>
      <c r="I2" s="265" t="s">
        <v>4</v>
      </c>
    </row>
    <row r="3" spans="1:21" ht="24.95" customHeight="1" thickBot="1" x14ac:dyDescent="0.25">
      <c r="A3" s="347" t="s">
        <v>870</v>
      </c>
      <c r="B3" s="348"/>
      <c r="C3" s="348"/>
      <c r="D3" s="348"/>
      <c r="E3" s="348"/>
      <c r="F3" s="348"/>
      <c r="G3" s="348"/>
      <c r="H3" s="348"/>
      <c r="I3" s="348"/>
    </row>
    <row r="4" spans="1:21" ht="30.75" customHeight="1" thickBot="1" x14ac:dyDescent="0.25">
      <c r="A4" s="263" t="s">
        <v>5</v>
      </c>
      <c r="B4" s="262" t="s">
        <v>6</v>
      </c>
      <c r="C4" s="262" t="s">
        <v>7</v>
      </c>
      <c r="D4" s="262" t="s">
        <v>8</v>
      </c>
      <c r="E4" s="262" t="s">
        <v>880</v>
      </c>
      <c r="F4" s="262" t="s">
        <v>10</v>
      </c>
      <c r="G4" s="262" t="s">
        <v>11</v>
      </c>
      <c r="H4" s="262" t="s">
        <v>879</v>
      </c>
      <c r="I4" s="264" t="s">
        <v>12</v>
      </c>
    </row>
    <row r="5" spans="1:21" ht="24.95" customHeight="1" thickBot="1" x14ac:dyDescent="0.25">
      <c r="A5" s="227"/>
      <c r="B5" s="228"/>
      <c r="C5" s="228"/>
      <c r="D5" s="229" t="s">
        <v>858</v>
      </c>
      <c r="E5" s="229"/>
      <c r="F5" s="230"/>
      <c r="G5" s="229"/>
      <c r="H5" s="229"/>
      <c r="I5" s="256">
        <f>+I9+I6+I14+I34+I30</f>
        <v>33153120</v>
      </c>
      <c r="K5" s="139">
        <f>ROUND(I5/(F38),2)</f>
        <v>78.94</v>
      </c>
      <c r="L5" s="139">
        <v>30</v>
      </c>
    </row>
    <row r="6" spans="1:21" ht="24.95" customHeight="1" x14ac:dyDescent="0.2">
      <c r="A6" s="227">
        <v>1</v>
      </c>
      <c r="B6" s="228"/>
      <c r="C6" s="228"/>
      <c r="D6" s="229" t="s">
        <v>27</v>
      </c>
      <c r="E6" s="229"/>
      <c r="F6" s="230"/>
      <c r="G6" s="229"/>
      <c r="H6" s="229"/>
      <c r="I6" s="256">
        <f>SUM(I7:I8)</f>
        <v>261918</v>
      </c>
    </row>
    <row r="7" spans="1:21" ht="24.95" customHeight="1" x14ac:dyDescent="0.2">
      <c r="A7" s="57" t="s">
        <v>661</v>
      </c>
      <c r="B7" s="168" t="s">
        <v>29</v>
      </c>
      <c r="C7" s="168" t="s">
        <v>19</v>
      </c>
      <c r="D7" s="145" t="s">
        <v>30</v>
      </c>
      <c r="E7" s="168" t="s">
        <v>31</v>
      </c>
      <c r="F7" s="169">
        <f>' MC'!D5</f>
        <v>60000</v>
      </c>
      <c r="G7" s="170">
        <v>1.21</v>
      </c>
      <c r="H7" s="170">
        <f>TRUNC(G7 * (1 + 23.7 / 100), 2)</f>
        <v>1.49</v>
      </c>
      <c r="I7" s="257">
        <f>TRUNC(F7 * H7, 2)</f>
        <v>89400</v>
      </c>
      <c r="J7" s="125" t="s">
        <v>1020</v>
      </c>
      <c r="K7" s="139">
        <f>F7/$L$5</f>
        <v>2000</v>
      </c>
      <c r="L7" s="139">
        <f>2000*$L$5</f>
        <v>60000</v>
      </c>
      <c r="M7" s="139">
        <f>TRUNC(L7/$L$5,2)</f>
        <v>2000</v>
      </c>
      <c r="R7" s="125" t="s">
        <v>1021</v>
      </c>
      <c r="S7" s="125">
        <f>I7/$I$5</f>
        <v>2.6965787835353055E-3</v>
      </c>
      <c r="T7" s="125" t="s">
        <v>1021</v>
      </c>
      <c r="U7" s="319">
        <f>SUMIF($R$7:$R$38,T7,$S$7:$S$38)</f>
        <v>4.8837829441090302E-2</v>
      </c>
    </row>
    <row r="8" spans="1:21" ht="24.95" customHeight="1" x14ac:dyDescent="0.2">
      <c r="A8" s="57" t="s">
        <v>660</v>
      </c>
      <c r="B8" s="168" t="s">
        <v>33</v>
      </c>
      <c r="C8" s="168" t="s">
        <v>16</v>
      </c>
      <c r="D8" s="145" t="s">
        <v>34</v>
      </c>
      <c r="E8" s="168" t="s">
        <v>35</v>
      </c>
      <c r="F8" s="169">
        <f>' MC'!D8</f>
        <v>60</v>
      </c>
      <c r="G8" s="170">
        <v>2324.42</v>
      </c>
      <c r="H8" s="170">
        <f>TRUNC(G8 * (1 + 23.7 / 100), 2)</f>
        <v>2875.3</v>
      </c>
      <c r="I8" s="257">
        <f>TRUNC(F8 * H8, 2)</f>
        <v>172518</v>
      </c>
      <c r="J8" s="125" t="s">
        <v>1020</v>
      </c>
      <c r="K8" s="139">
        <f t="shared" ref="K8:K38" si="0">F8/$L$5</f>
        <v>2</v>
      </c>
      <c r="L8" s="139">
        <f>2*$L$5</f>
        <v>60</v>
      </c>
      <c r="M8" s="139">
        <f t="shared" ref="M8:M38" si="1">TRUNC(L8/$L$5,2)</f>
        <v>2</v>
      </c>
      <c r="R8" s="125" t="s">
        <v>1021</v>
      </c>
      <c r="S8" s="125">
        <f t="shared" ref="S8:S38" si="2">I8/$I$5</f>
        <v>5.2036731384557475E-3</v>
      </c>
      <c r="T8" s="125" t="s">
        <v>1022</v>
      </c>
      <c r="U8" s="319">
        <f t="shared" ref="U8:U10" si="3">SUMIF($R$7:$R$38,T8,$S$7:$S$38)</f>
        <v>0.95116217055890961</v>
      </c>
    </row>
    <row r="9" spans="1:21" ht="24.95" customHeight="1" x14ac:dyDescent="0.2">
      <c r="A9" s="188">
        <v>2</v>
      </c>
      <c r="B9" s="192"/>
      <c r="C9" s="192"/>
      <c r="D9" s="132" t="s">
        <v>13</v>
      </c>
      <c r="E9" s="132"/>
      <c r="F9" s="133"/>
      <c r="G9" s="132"/>
      <c r="H9" s="132"/>
      <c r="I9" s="258">
        <f>SUM(I10:I13)</f>
        <v>396300.07999999996</v>
      </c>
      <c r="K9" s="139">
        <f t="shared" si="0"/>
        <v>0</v>
      </c>
      <c r="M9" s="139">
        <f t="shared" si="1"/>
        <v>0</v>
      </c>
      <c r="T9" s="125" t="s">
        <v>1023</v>
      </c>
      <c r="U9" s="319">
        <f t="shared" si="3"/>
        <v>0</v>
      </c>
    </row>
    <row r="10" spans="1:21" ht="24.95" customHeight="1" x14ac:dyDescent="0.2">
      <c r="A10" s="57" t="s">
        <v>881</v>
      </c>
      <c r="B10" s="168" t="s">
        <v>15</v>
      </c>
      <c r="C10" s="168" t="s">
        <v>16</v>
      </c>
      <c r="D10" s="145" t="s">
        <v>90</v>
      </c>
      <c r="E10" s="168" t="s">
        <v>17</v>
      </c>
      <c r="F10" s="169">
        <f>' MC'!D12</f>
        <v>25530</v>
      </c>
      <c r="G10" s="170">
        <v>0.57999999999999996</v>
      </c>
      <c r="H10" s="170">
        <f>TRUNC(G10 * (1 + 23.7 / 100), 2)</f>
        <v>0.71</v>
      </c>
      <c r="I10" s="257">
        <f>TRUNC(F10 * H10, 2)</f>
        <v>18126.3</v>
      </c>
      <c r="J10" s="125" t="s">
        <v>1020</v>
      </c>
      <c r="K10" s="139">
        <f t="shared" si="0"/>
        <v>851</v>
      </c>
      <c r="L10" s="139">
        <f>'MOB E DESM'!H30*L5*10</f>
        <v>25530</v>
      </c>
      <c r="M10" s="139">
        <f t="shared" si="1"/>
        <v>851</v>
      </c>
      <c r="R10" s="125" t="s">
        <v>1021</v>
      </c>
      <c r="S10" s="125">
        <f t="shared" si="2"/>
        <v>5.4674492174492176E-4</v>
      </c>
      <c r="T10" s="125" t="s">
        <v>98</v>
      </c>
      <c r="U10" s="319">
        <f t="shared" si="3"/>
        <v>0</v>
      </c>
    </row>
    <row r="11" spans="1:21" ht="24.95" customHeight="1" x14ac:dyDescent="0.2">
      <c r="A11" s="57" t="s">
        <v>882</v>
      </c>
      <c r="B11" s="168" t="s">
        <v>695</v>
      </c>
      <c r="C11" s="168" t="s">
        <v>38</v>
      </c>
      <c r="D11" s="145" t="s">
        <v>20</v>
      </c>
      <c r="E11" s="168" t="s">
        <v>21</v>
      </c>
      <c r="F11" s="169">
        <f>' MC'!D16</f>
        <v>194.4</v>
      </c>
      <c r="G11" s="170">
        <v>422.89</v>
      </c>
      <c r="H11" s="170">
        <f>TRUNC(G11 * (1 + 23.7 / 100), 2)</f>
        <v>523.11</v>
      </c>
      <c r="I11" s="257">
        <f>TRUNC(F11 * H11, 2)</f>
        <v>101692.58</v>
      </c>
      <c r="J11" s="125" t="s">
        <v>1020</v>
      </c>
      <c r="K11" s="139">
        <f t="shared" si="0"/>
        <v>6.48</v>
      </c>
      <c r="L11" s="139">
        <f>1.8*3.6*L5</f>
        <v>194.4</v>
      </c>
      <c r="M11" s="139">
        <f t="shared" si="1"/>
        <v>6.48</v>
      </c>
      <c r="R11" s="125" t="s">
        <v>1021</v>
      </c>
      <c r="S11" s="125">
        <f t="shared" si="2"/>
        <v>3.0673607793173011E-3</v>
      </c>
    </row>
    <row r="12" spans="1:21" ht="24.95" customHeight="1" x14ac:dyDescent="0.2">
      <c r="A12" s="57" t="s">
        <v>883</v>
      </c>
      <c r="B12" s="168" t="s">
        <v>22</v>
      </c>
      <c r="C12" s="168" t="s">
        <v>16</v>
      </c>
      <c r="D12" s="145" t="s">
        <v>856</v>
      </c>
      <c r="E12" s="168" t="s">
        <v>23</v>
      </c>
      <c r="F12" s="169">
        <f>' MC'!D19</f>
        <v>1</v>
      </c>
      <c r="G12" s="170">
        <f>H12/(1+0.237)</f>
        <v>104330.8811641067</v>
      </c>
      <c r="H12" s="170">
        <f>'COMP.'!J52</f>
        <v>129057.3</v>
      </c>
      <c r="I12" s="257">
        <f>TRUNC(F12 * H12, 2)</f>
        <v>129057.3</v>
      </c>
      <c r="J12" s="125" t="s">
        <v>1020</v>
      </c>
      <c r="K12" s="139">
        <f t="shared" si="0"/>
        <v>3.3333333333333333E-2</v>
      </c>
      <c r="L12" s="139">
        <f>L5</f>
        <v>30</v>
      </c>
      <c r="M12" s="139">
        <f t="shared" si="1"/>
        <v>1</v>
      </c>
      <c r="R12" s="125" t="s">
        <v>1021</v>
      </c>
      <c r="S12" s="125">
        <f t="shared" si="2"/>
        <v>3.8927648438518004E-3</v>
      </c>
      <c r="U12" s="139"/>
    </row>
    <row r="13" spans="1:21" ht="24.95" customHeight="1" x14ac:dyDescent="0.2">
      <c r="A13" s="57" t="s">
        <v>884</v>
      </c>
      <c r="B13" s="168" t="s">
        <v>24</v>
      </c>
      <c r="C13" s="168" t="s">
        <v>16</v>
      </c>
      <c r="D13" s="145" t="s">
        <v>25</v>
      </c>
      <c r="E13" s="168" t="s">
        <v>26</v>
      </c>
      <c r="F13" s="169">
        <f>' MC'!D20</f>
        <v>30</v>
      </c>
      <c r="G13" s="170">
        <v>3972.62</v>
      </c>
      <c r="H13" s="170">
        <f>TRUNC(G13 * (1 + 23.7 / 100), 2)</f>
        <v>4914.13</v>
      </c>
      <c r="I13" s="257">
        <f>TRUNC(F13 * H13, 2)</f>
        <v>147423.9</v>
      </c>
      <c r="J13" s="125" t="s">
        <v>1020</v>
      </c>
      <c r="K13" s="139">
        <f t="shared" si="0"/>
        <v>1</v>
      </c>
      <c r="L13" s="139">
        <f>L12</f>
        <v>30</v>
      </c>
      <c r="M13" s="139">
        <f t="shared" si="1"/>
        <v>1</v>
      </c>
      <c r="R13" s="125" t="s">
        <v>1021</v>
      </c>
      <c r="S13" s="125">
        <f t="shared" si="2"/>
        <v>4.4467579521927343E-3</v>
      </c>
    </row>
    <row r="14" spans="1:21" ht="24.95" customHeight="1" x14ac:dyDescent="0.2">
      <c r="A14" s="188">
        <v>3</v>
      </c>
      <c r="B14" s="192"/>
      <c r="C14" s="192"/>
      <c r="D14" s="132" t="s">
        <v>886</v>
      </c>
      <c r="E14" s="132"/>
      <c r="F14" s="133"/>
      <c r="G14" s="132"/>
      <c r="H14" s="132"/>
      <c r="I14" s="258">
        <f>SUM(I15+I20)</f>
        <v>31533993.580000002</v>
      </c>
      <c r="K14" s="139">
        <f t="shared" si="0"/>
        <v>0</v>
      </c>
      <c r="M14" s="139">
        <f t="shared" ref="M14" si="4">TRUNC(L14/$L$5,2)</f>
        <v>0</v>
      </c>
    </row>
    <row r="15" spans="1:21" ht="24.95" customHeight="1" x14ac:dyDescent="0.2">
      <c r="A15" s="187" t="s">
        <v>885</v>
      </c>
      <c r="B15" s="190"/>
      <c r="C15" s="190"/>
      <c r="D15" s="134" t="s">
        <v>111</v>
      </c>
      <c r="E15" s="134"/>
      <c r="F15" s="143"/>
      <c r="G15" s="134"/>
      <c r="H15" s="134"/>
      <c r="I15" s="259">
        <f>SUM(I16:I19)</f>
        <v>18435706.710000001</v>
      </c>
      <c r="K15" s="139">
        <f t="shared" si="0"/>
        <v>0</v>
      </c>
      <c r="M15" s="139">
        <f t="shared" si="1"/>
        <v>0</v>
      </c>
    </row>
    <row r="16" spans="1:21" ht="24.95" customHeight="1" x14ac:dyDescent="0.2">
      <c r="A16" s="189" t="s">
        <v>887</v>
      </c>
      <c r="B16" s="136" t="s">
        <v>698</v>
      </c>
      <c r="C16" s="136" t="s">
        <v>16</v>
      </c>
      <c r="D16" s="135" t="s">
        <v>670</v>
      </c>
      <c r="E16" s="136" t="s">
        <v>39</v>
      </c>
      <c r="F16" s="144">
        <f>' MC'!D22</f>
        <v>175.5</v>
      </c>
      <c r="G16" s="137">
        <f>'MAT BETUMINSO'!F13*1000</f>
        <v>4590</v>
      </c>
      <c r="H16" s="144" t="str">
        <f t="shared" ref="H16:H19" si="5">TRUNC(G16 * (1 + 15 / 100), 2) &amp;CHAR(10)&amp; "(15.0%)"</f>
        <v>5278,5
(15.0%)</v>
      </c>
      <c r="I16" s="260">
        <f>TRUNC(F16 * TRUNC(G16 * (1 + 15 / 100), 2), 2)</f>
        <v>926376.75</v>
      </c>
      <c r="K16" s="139">
        <f t="shared" si="0"/>
        <v>5.85</v>
      </c>
      <c r="L16" s="139">
        <f>F21*' MC'!D24</f>
        <v>175.5</v>
      </c>
      <c r="M16" s="139">
        <f t="shared" si="1"/>
        <v>5.85</v>
      </c>
      <c r="R16" s="125" t="s">
        <v>1022</v>
      </c>
      <c r="S16" s="125">
        <f t="shared" si="2"/>
        <v>2.794237012987013E-2</v>
      </c>
    </row>
    <row r="17" spans="1:19" ht="24.95" customHeight="1" x14ac:dyDescent="0.2">
      <c r="A17" s="189" t="s">
        <v>888</v>
      </c>
      <c r="B17" s="136" t="s">
        <v>688</v>
      </c>
      <c r="C17" s="136" t="s">
        <v>16</v>
      </c>
      <c r="D17" s="135" t="s">
        <v>687</v>
      </c>
      <c r="E17" s="136" t="s">
        <v>39</v>
      </c>
      <c r="F17" s="144">
        <f>' MC'!D26</f>
        <v>2885.1</v>
      </c>
      <c r="G17" s="137">
        <f>'MAT BETUMINSO'!F14*1000</f>
        <v>5110</v>
      </c>
      <c r="H17" s="137" t="str">
        <f t="shared" si="5"/>
        <v>5876,5
(15.0%)</v>
      </c>
      <c r="I17" s="260">
        <f>TRUNC(F17 * TRUNC(G17 * (1 + 15 / 100), 2), 2)</f>
        <v>16954290.149999999</v>
      </c>
      <c r="K17" s="139">
        <f t="shared" si="0"/>
        <v>96.17</v>
      </c>
      <c r="L17" s="139">
        <f>0.06323*(F22+F23)*2.34</f>
        <v>6751.3326659999993</v>
      </c>
      <c r="M17" s="139">
        <f t="shared" si="1"/>
        <v>225.04</v>
      </c>
      <c r="R17" s="125" t="s">
        <v>1022</v>
      </c>
      <c r="S17" s="125">
        <f t="shared" si="2"/>
        <v>0.51139350233100234</v>
      </c>
    </row>
    <row r="18" spans="1:19" ht="39.950000000000003" customHeight="1" x14ac:dyDescent="0.2">
      <c r="A18" s="189" t="s">
        <v>889</v>
      </c>
      <c r="B18" s="136" t="s">
        <v>43</v>
      </c>
      <c r="C18" s="136" t="s">
        <v>38</v>
      </c>
      <c r="D18" s="135" t="s">
        <v>108</v>
      </c>
      <c r="E18" s="136" t="s">
        <v>44</v>
      </c>
      <c r="F18" s="144">
        <f>' MC'!D33</f>
        <v>91818</v>
      </c>
      <c r="G18" s="137">
        <v>1.47</v>
      </c>
      <c r="H18" s="144" t="str">
        <f t="shared" si="5"/>
        <v>1,69
(15.0%)</v>
      </c>
      <c r="I18" s="260">
        <f t="shared" ref="I18:I19" si="6">TRUNC(F18 * TRUNC(G18 * (1 + 15 / 100), 2), 2)</f>
        <v>155172.42000000001</v>
      </c>
      <c r="K18" s="139">
        <f t="shared" si="0"/>
        <v>3060.6</v>
      </c>
      <c r="L18" s="139">
        <f>(L17+L16)*30</f>
        <v>207804.97997999997</v>
      </c>
      <c r="M18" s="139">
        <f t="shared" si="1"/>
        <v>6926.83</v>
      </c>
      <c r="R18" s="125" t="s">
        <v>1022</v>
      </c>
      <c r="S18" s="125">
        <f t="shared" si="2"/>
        <v>4.6804771315640883E-3</v>
      </c>
    </row>
    <row r="19" spans="1:19" ht="39.950000000000003" customHeight="1" thickBot="1" x14ac:dyDescent="0.25">
      <c r="A19" s="272" t="s">
        <v>890</v>
      </c>
      <c r="B19" s="273" t="s">
        <v>45</v>
      </c>
      <c r="C19" s="273" t="s">
        <v>38</v>
      </c>
      <c r="D19" s="274" t="s">
        <v>109</v>
      </c>
      <c r="E19" s="273" t="s">
        <v>44</v>
      </c>
      <c r="F19" s="275">
        <f>' MC'!D36</f>
        <v>615180.6</v>
      </c>
      <c r="G19" s="276">
        <v>0.56999999999999995</v>
      </c>
      <c r="H19" s="275" t="str">
        <f t="shared" si="5"/>
        <v>0,65
(15.0%)</v>
      </c>
      <c r="I19" s="277">
        <f t="shared" si="6"/>
        <v>399867.39</v>
      </c>
      <c r="K19" s="139">
        <f t="shared" si="0"/>
        <v>20506.02</v>
      </c>
      <c r="L19" s="139">
        <f>(L16+L17)*280</f>
        <v>1939513.1464799999</v>
      </c>
      <c r="M19" s="139">
        <f t="shared" si="1"/>
        <v>64650.43</v>
      </c>
      <c r="R19" s="125" t="s">
        <v>1022</v>
      </c>
      <c r="S19" s="125">
        <f t="shared" si="2"/>
        <v>1.2061229531338227E-2</v>
      </c>
    </row>
    <row r="20" spans="1:19" ht="24.95" customHeight="1" x14ac:dyDescent="0.2">
      <c r="A20" s="188" t="s">
        <v>891</v>
      </c>
      <c r="B20" s="192"/>
      <c r="C20" s="192"/>
      <c r="D20" s="132" t="s">
        <v>46</v>
      </c>
      <c r="E20" s="132"/>
      <c r="F20" s="271"/>
      <c r="G20" s="132"/>
      <c r="H20" s="132"/>
      <c r="I20" s="258">
        <f>SUM(I21:I29)</f>
        <v>13098286.870000001</v>
      </c>
      <c r="K20" s="139">
        <f t="shared" si="0"/>
        <v>0</v>
      </c>
      <c r="M20" s="139">
        <f t="shared" si="1"/>
        <v>0</v>
      </c>
    </row>
    <row r="21" spans="1:19" ht="24.95" customHeight="1" x14ac:dyDescent="0.2">
      <c r="A21" s="57" t="s">
        <v>892</v>
      </c>
      <c r="B21" s="168">
        <v>4011353</v>
      </c>
      <c r="C21" s="168" t="s">
        <v>119</v>
      </c>
      <c r="D21" s="145" t="s">
        <v>671</v>
      </c>
      <c r="E21" s="168" t="s">
        <v>21</v>
      </c>
      <c r="F21" s="169">
        <f>' MC'!D40</f>
        <v>390000</v>
      </c>
      <c r="G21" s="170">
        <v>0.28999999999999998</v>
      </c>
      <c r="H21" s="170">
        <f>TRUNC(G21 * (1 + 23.7 / 100), 2)</f>
        <v>0.35</v>
      </c>
      <c r="I21" s="257">
        <f>TRUNC(F21 * H21, 2)</f>
        <v>136500</v>
      </c>
      <c r="K21" s="139">
        <f t="shared" si="0"/>
        <v>13000</v>
      </c>
      <c r="L21" s="139">
        <f>6.5*2000*L5</f>
        <v>390000</v>
      </c>
      <c r="M21" s="139">
        <f t="shared" si="1"/>
        <v>13000</v>
      </c>
      <c r="R21" s="125" t="s">
        <v>1022</v>
      </c>
      <c r="S21" s="125">
        <f t="shared" si="2"/>
        <v>4.117259552042161E-3</v>
      </c>
    </row>
    <row r="22" spans="1:19" ht="24.95" customHeight="1" x14ac:dyDescent="0.2">
      <c r="A22" s="57" t="s">
        <v>893</v>
      </c>
      <c r="B22" s="168">
        <v>4011463</v>
      </c>
      <c r="C22" s="168" t="s">
        <v>119</v>
      </c>
      <c r="D22" s="145" t="str">
        <f>' MC'!B43</f>
        <v>APLICAÇÃO DE CONCRETO ASFÁLTICO, CAMADA DE REPERFILAMENTO - TIPO "C" COM ESP = 2,00 CM</v>
      </c>
      <c r="E22" s="168" t="s">
        <v>98</v>
      </c>
      <c r="F22" s="169">
        <f>' MC'!D43</f>
        <v>18252</v>
      </c>
      <c r="G22" s="170">
        <v>196.33</v>
      </c>
      <c r="H22" s="170">
        <f>TRUNC(G22 * (1 + 23.7 / 100), 2)</f>
        <v>242.86</v>
      </c>
      <c r="I22" s="257">
        <f>TRUNC(F22 * H22, 2)</f>
        <v>4432680.72</v>
      </c>
      <c r="K22" s="139">
        <f t="shared" si="0"/>
        <v>608.4</v>
      </c>
      <c r="L22" s="139">
        <f>L21*0.02</f>
        <v>7800</v>
      </c>
      <c r="M22" s="139">
        <f t="shared" si="1"/>
        <v>260</v>
      </c>
      <c r="R22" s="125" t="s">
        <v>1022</v>
      </c>
      <c r="S22" s="125">
        <f t="shared" si="2"/>
        <v>0.13370327498588366</v>
      </c>
    </row>
    <row r="23" spans="1:19" ht="24.95" customHeight="1" x14ac:dyDescent="0.2">
      <c r="A23" s="57" t="s">
        <v>894</v>
      </c>
      <c r="B23" s="168">
        <v>4011463</v>
      </c>
      <c r="C23" s="168" t="s">
        <v>119</v>
      </c>
      <c r="D23" s="145" t="str">
        <f>' MC'!B47</f>
        <v>APLICAÇÃO DE CONCRETO ASFÁLTICO, CAMADA DE ROLAMENTO - TIPO "C" COM ESP = 3,00 CM</v>
      </c>
      <c r="E23" s="168" t="s">
        <v>98</v>
      </c>
      <c r="F23" s="169">
        <f>' MC'!D47</f>
        <v>27378</v>
      </c>
      <c r="G23" s="170">
        <v>196.33</v>
      </c>
      <c r="H23" s="170">
        <f>TRUNC(G23 * (1 + 23.7 / 100), 2)</f>
        <v>242.86</v>
      </c>
      <c r="I23" s="257">
        <f>TRUNC(F23 * H23, 2)</f>
        <v>6649021.0800000001</v>
      </c>
      <c r="K23" s="139">
        <f t="shared" si="0"/>
        <v>912.6</v>
      </c>
      <c r="L23" s="139">
        <f>L21*0.03</f>
        <v>11700</v>
      </c>
      <c r="M23" s="139">
        <f t="shared" si="1"/>
        <v>390</v>
      </c>
      <c r="N23" s="175">
        <f>F23+F22</f>
        <v>45630</v>
      </c>
      <c r="O23" s="175">
        <f>N23*0.4</f>
        <v>18252</v>
      </c>
      <c r="R23" s="125" t="s">
        <v>1022</v>
      </c>
      <c r="S23" s="125">
        <f t="shared" si="2"/>
        <v>0.20055491247882554</v>
      </c>
    </row>
    <row r="24" spans="1:19" ht="24.95" customHeight="1" x14ac:dyDescent="0.2">
      <c r="A24" s="57" t="s">
        <v>895</v>
      </c>
      <c r="B24" s="168">
        <v>5914374</v>
      </c>
      <c r="C24" s="168" t="s">
        <v>119</v>
      </c>
      <c r="D24" s="145" t="s">
        <v>864</v>
      </c>
      <c r="E24" s="168" t="s">
        <v>122</v>
      </c>
      <c r="F24" s="169">
        <f>' MC'!D51</f>
        <v>456300</v>
      </c>
      <c r="G24" s="170">
        <v>0.95</v>
      </c>
      <c r="H24" s="170">
        <f t="shared" ref="H24:H25" si="7">TRUNC(G24 * (1 + 23.7 / 100), 2)</f>
        <v>1.17</v>
      </c>
      <c r="I24" s="257">
        <f t="shared" ref="I24:I25" si="8">TRUNC(F24 * H24, 2)</f>
        <v>533871</v>
      </c>
      <c r="K24" s="139">
        <f t="shared" si="0"/>
        <v>15210</v>
      </c>
      <c r="M24" s="139"/>
      <c r="R24" s="125" t="s">
        <v>1022</v>
      </c>
      <c r="S24" s="125">
        <f t="shared" si="2"/>
        <v>1.6103190287972895E-2</v>
      </c>
    </row>
    <row r="25" spans="1:19" ht="24.95" customHeight="1" x14ac:dyDescent="0.2">
      <c r="A25" s="57" t="s">
        <v>896</v>
      </c>
      <c r="B25" s="168">
        <v>5914389</v>
      </c>
      <c r="C25" s="168" t="s">
        <v>119</v>
      </c>
      <c r="D25" s="145" t="s">
        <v>865</v>
      </c>
      <c r="E25" s="168" t="s">
        <v>122</v>
      </c>
      <c r="F25" s="169">
        <f>' MC'!D55</f>
        <v>456300</v>
      </c>
      <c r="G25" s="170">
        <v>0.78</v>
      </c>
      <c r="H25" s="170">
        <f t="shared" si="7"/>
        <v>0.96</v>
      </c>
      <c r="I25" s="257">
        <f t="shared" si="8"/>
        <v>438048</v>
      </c>
      <c r="K25" s="139">
        <f t="shared" si="0"/>
        <v>15210</v>
      </c>
      <c r="M25" s="139"/>
      <c r="R25" s="125" t="s">
        <v>1022</v>
      </c>
      <c r="S25" s="125">
        <f t="shared" si="2"/>
        <v>1.32128740824393E-2</v>
      </c>
    </row>
    <row r="26" spans="1:19" ht="24.95" customHeight="1" x14ac:dyDescent="0.2">
      <c r="A26" s="57" t="s">
        <v>897</v>
      </c>
      <c r="B26" s="168">
        <v>5914374</v>
      </c>
      <c r="C26" s="168" t="s">
        <v>119</v>
      </c>
      <c r="D26" s="145" t="s">
        <v>861</v>
      </c>
      <c r="E26" s="168" t="s">
        <v>122</v>
      </c>
      <c r="F26" s="169">
        <f>' MC'!D59</f>
        <v>401808.60000000003</v>
      </c>
      <c r="G26" s="170">
        <v>0.95</v>
      </c>
      <c r="H26" s="170">
        <f t="shared" ref="H26:H29" si="9">TRUNC(G26 * (1 + 23.7 / 100), 2)</f>
        <v>1.17</v>
      </c>
      <c r="I26" s="257">
        <f t="shared" ref="I26:I29" si="10">TRUNC(F26 * H26, 2)</f>
        <v>470116.06</v>
      </c>
      <c r="K26" s="139">
        <f t="shared" si="0"/>
        <v>13393.62</v>
      </c>
      <c r="L26" s="139">
        <f>(SUM(' MC'!D53:D53))*10*SUM(L22:L23)*2.34</f>
        <v>694032300</v>
      </c>
      <c r="M26" s="139">
        <f t="shared" si="1"/>
        <v>23134410</v>
      </c>
      <c r="R26" s="125" t="s">
        <v>1022</v>
      </c>
      <c r="S26" s="125">
        <f t="shared" si="2"/>
        <v>1.4180145337754033E-2</v>
      </c>
    </row>
    <row r="27" spans="1:19" ht="24.95" customHeight="1" x14ac:dyDescent="0.2">
      <c r="A27" s="57" t="s">
        <v>898</v>
      </c>
      <c r="B27" s="168">
        <v>5914389</v>
      </c>
      <c r="C27" s="168" t="s">
        <v>119</v>
      </c>
      <c r="D27" s="145" t="s">
        <v>862</v>
      </c>
      <c r="E27" s="168" t="s">
        <v>122</v>
      </c>
      <c r="F27" s="169">
        <f>' MC'!D66</f>
        <v>401808.60000000003</v>
      </c>
      <c r="G27" s="170">
        <v>0.78</v>
      </c>
      <c r="H27" s="170">
        <f t="shared" si="9"/>
        <v>0.96</v>
      </c>
      <c r="I27" s="257">
        <f t="shared" si="10"/>
        <v>385736.25</v>
      </c>
      <c r="K27" s="139">
        <f t="shared" si="0"/>
        <v>13393.62</v>
      </c>
      <c r="L27" s="139">
        <f>L26</f>
        <v>694032300</v>
      </c>
      <c r="M27" s="139">
        <f t="shared" si="1"/>
        <v>23134410</v>
      </c>
      <c r="R27" s="125" t="s">
        <v>1022</v>
      </c>
      <c r="S27" s="125">
        <f t="shared" si="2"/>
        <v>1.163499091488222E-2</v>
      </c>
    </row>
    <row r="28" spans="1:19" ht="24.95" customHeight="1" x14ac:dyDescent="0.2">
      <c r="A28" s="57" t="s">
        <v>899</v>
      </c>
      <c r="B28" s="168">
        <v>5914479</v>
      </c>
      <c r="C28" s="168" t="s">
        <v>119</v>
      </c>
      <c r="D28" s="145" t="s">
        <v>682</v>
      </c>
      <c r="E28" s="168" t="s">
        <v>122</v>
      </c>
      <c r="F28" s="169">
        <f>' MC'!D73</f>
        <v>25644</v>
      </c>
      <c r="G28" s="170">
        <v>0.75</v>
      </c>
      <c r="H28" s="170">
        <f t="shared" si="9"/>
        <v>0.92</v>
      </c>
      <c r="I28" s="257">
        <f t="shared" si="10"/>
        <v>23592.48</v>
      </c>
      <c r="K28" s="139">
        <f t="shared" si="0"/>
        <v>854.8</v>
      </c>
      <c r="L28" s="139">
        <f>SUM(L22:L23)*2.34*10*' MC'!D75</f>
        <v>25644.06</v>
      </c>
      <c r="M28" s="139">
        <f t="shared" si="1"/>
        <v>854.8</v>
      </c>
      <c r="R28" s="125" t="s">
        <v>1022</v>
      </c>
      <c r="S28" s="125">
        <f t="shared" si="2"/>
        <v>7.116217116217116E-4</v>
      </c>
    </row>
    <row r="29" spans="1:19" ht="24.95" customHeight="1" x14ac:dyDescent="0.2">
      <c r="A29" s="57" t="s">
        <v>900</v>
      </c>
      <c r="B29" s="168">
        <v>5914464</v>
      </c>
      <c r="C29" s="168" t="s">
        <v>119</v>
      </c>
      <c r="D29" s="145" t="s">
        <v>863</v>
      </c>
      <c r="E29" s="168" t="s">
        <v>122</v>
      </c>
      <c r="F29" s="169">
        <f>' MC'!D77</f>
        <v>25644</v>
      </c>
      <c r="G29" s="170">
        <v>0.91</v>
      </c>
      <c r="H29" s="170">
        <f t="shared" si="9"/>
        <v>1.1200000000000001</v>
      </c>
      <c r="I29" s="257">
        <f t="shared" si="10"/>
        <v>28721.279999999999</v>
      </c>
      <c r="K29" s="139">
        <f t="shared" si="0"/>
        <v>854.8</v>
      </c>
      <c r="L29" s="139">
        <f>L28</f>
        <v>25644.06</v>
      </c>
      <c r="M29" s="139">
        <f t="shared" si="1"/>
        <v>854.8</v>
      </c>
      <c r="R29" s="125" t="s">
        <v>1022</v>
      </c>
      <c r="S29" s="125">
        <f t="shared" si="2"/>
        <v>8.6632208371338799E-4</v>
      </c>
    </row>
    <row r="30" spans="1:19" ht="24.95" customHeight="1" x14ac:dyDescent="0.2">
      <c r="A30" s="187">
        <v>4</v>
      </c>
      <c r="B30" s="190"/>
      <c r="C30" s="190"/>
      <c r="D30" s="134" t="s">
        <v>873</v>
      </c>
      <c r="E30" s="134"/>
      <c r="F30" s="143"/>
      <c r="G30" s="134"/>
      <c r="H30" s="134"/>
      <c r="I30" s="259">
        <f>SUM(I31:I33)</f>
        <v>599202</v>
      </c>
      <c r="K30" s="139">
        <f t="shared" si="0"/>
        <v>0</v>
      </c>
      <c r="M30" s="139"/>
    </row>
    <row r="31" spans="1:19" ht="24.95" customHeight="1" x14ac:dyDescent="0.2">
      <c r="A31" s="57" t="s">
        <v>901</v>
      </c>
      <c r="B31" s="168">
        <v>5213440</v>
      </c>
      <c r="C31" s="168" t="s">
        <v>119</v>
      </c>
      <c r="D31" s="145" t="s">
        <v>874</v>
      </c>
      <c r="E31" s="168" t="s">
        <v>9</v>
      </c>
      <c r="F31" s="169">
        <f>' MC'!D82</f>
        <v>60</v>
      </c>
      <c r="G31" s="170">
        <v>198.65</v>
      </c>
      <c r="H31" s="170">
        <f t="shared" ref="H31:H33" si="11">TRUNC(G31 * (1 + 23.7 / 100), 2)</f>
        <v>245.73</v>
      </c>
      <c r="I31" s="257">
        <f t="shared" ref="I31:I33" si="12">TRUNC(F31 * H31, 2)</f>
        <v>14743.8</v>
      </c>
      <c r="K31" s="139">
        <f t="shared" si="0"/>
        <v>2</v>
      </c>
      <c r="M31" s="139"/>
      <c r="R31" s="125" t="s">
        <v>1021</v>
      </c>
      <c r="S31" s="125">
        <f t="shared" si="2"/>
        <v>4.4471832515310776E-4</v>
      </c>
    </row>
    <row r="32" spans="1:19" ht="24.95" customHeight="1" x14ac:dyDescent="0.2">
      <c r="A32" s="57" t="s">
        <v>902</v>
      </c>
      <c r="B32" s="168">
        <v>5213863</v>
      </c>
      <c r="C32" s="168" t="s">
        <v>119</v>
      </c>
      <c r="D32" s="145" t="s">
        <v>875</v>
      </c>
      <c r="E32" s="168" t="s">
        <v>9</v>
      </c>
      <c r="F32" s="169">
        <f>' MC'!D85</f>
        <v>60</v>
      </c>
      <c r="G32" s="170">
        <v>385.59</v>
      </c>
      <c r="H32" s="170">
        <f t="shared" si="11"/>
        <v>476.97</v>
      </c>
      <c r="I32" s="257">
        <f t="shared" si="12"/>
        <v>28618.2</v>
      </c>
      <c r="K32" s="139">
        <f t="shared" si="0"/>
        <v>2</v>
      </c>
      <c r="M32" s="139"/>
      <c r="R32" s="125" t="s">
        <v>1021</v>
      </c>
      <c r="S32" s="125">
        <f t="shared" si="2"/>
        <v>8.6321287408243927E-4</v>
      </c>
    </row>
    <row r="33" spans="1:19" ht="24.95" customHeight="1" x14ac:dyDescent="0.2">
      <c r="A33" s="57" t="s">
        <v>903</v>
      </c>
      <c r="B33" s="168">
        <v>5213400</v>
      </c>
      <c r="C33" s="168" t="s">
        <v>119</v>
      </c>
      <c r="D33" s="145" t="s">
        <v>876</v>
      </c>
      <c r="E33" s="168" t="s">
        <v>55</v>
      </c>
      <c r="F33" s="169">
        <f>' MC'!D88</f>
        <v>18000</v>
      </c>
      <c r="G33" s="170">
        <v>24.97</v>
      </c>
      <c r="H33" s="170">
        <f t="shared" si="11"/>
        <v>30.88</v>
      </c>
      <c r="I33" s="257">
        <f t="shared" si="12"/>
        <v>555840</v>
      </c>
      <c r="K33" s="139">
        <f t="shared" si="0"/>
        <v>600</v>
      </c>
      <c r="M33" s="186">
        <f>F35/L5</f>
        <v>99.650433333333325</v>
      </c>
      <c r="R33" s="125" t="s">
        <v>1021</v>
      </c>
      <c r="S33" s="125">
        <f t="shared" si="2"/>
        <v>1.6765842852799376E-2</v>
      </c>
    </row>
    <row r="34" spans="1:19" ht="24.95" customHeight="1" x14ac:dyDescent="0.2">
      <c r="A34" s="187">
        <v>5</v>
      </c>
      <c r="B34" s="190"/>
      <c r="C34" s="190"/>
      <c r="D34" s="134" t="s">
        <v>51</v>
      </c>
      <c r="E34" s="134"/>
      <c r="F34" s="143"/>
      <c r="G34" s="134"/>
      <c r="H34" s="134"/>
      <c r="I34" s="259">
        <f>SUM(I35:I38)</f>
        <v>361706.33999999997</v>
      </c>
      <c r="K34" s="139">
        <f t="shared" si="0"/>
        <v>0</v>
      </c>
      <c r="M34" s="139">
        <f t="shared" si="1"/>
        <v>0</v>
      </c>
    </row>
    <row r="35" spans="1:19" ht="24.95" customHeight="1" x14ac:dyDescent="0.2">
      <c r="A35" s="57" t="s">
        <v>904</v>
      </c>
      <c r="B35" s="168" t="s">
        <v>52</v>
      </c>
      <c r="C35" s="168" t="s">
        <v>16</v>
      </c>
      <c r="D35" s="145" t="s">
        <v>53</v>
      </c>
      <c r="E35" s="168" t="s">
        <v>31</v>
      </c>
      <c r="F35" s="169">
        <v>2989.5129999999999</v>
      </c>
      <c r="G35" s="170">
        <v>16.149999999999999</v>
      </c>
      <c r="H35" s="170">
        <f t="shared" ref="H35:H37" si="13">TRUNC(G35 * (1 + 23.7 / 100), 2)</f>
        <v>19.97</v>
      </c>
      <c r="I35" s="257">
        <f t="shared" ref="I35:I37" si="14">TRUNC(F35 * H35, 2)</f>
        <v>59700.57</v>
      </c>
      <c r="K35" s="139">
        <f t="shared" si="0"/>
        <v>99.650433333333325</v>
      </c>
      <c r="L35" s="139">
        <f>F35</f>
        <v>2989.5129999999999</v>
      </c>
      <c r="M35" s="186">
        <f>TRUNC(L35/$L$5,2)</f>
        <v>99.65</v>
      </c>
      <c r="N35" s="175">
        <f>100*L5</f>
        <v>3000</v>
      </c>
      <c r="R35" s="125" t="s">
        <v>1021</v>
      </c>
      <c r="S35" s="125">
        <f t="shared" si="2"/>
        <v>1.8007526893396458E-3</v>
      </c>
    </row>
    <row r="36" spans="1:19" ht="24.95" customHeight="1" x14ac:dyDescent="0.2">
      <c r="A36" s="57" t="s">
        <v>905</v>
      </c>
      <c r="B36" s="168" t="s">
        <v>54</v>
      </c>
      <c r="C36" s="168" t="s">
        <v>19</v>
      </c>
      <c r="D36" s="145" t="s">
        <v>93</v>
      </c>
      <c r="E36" s="168" t="s">
        <v>55</v>
      </c>
      <c r="F36" s="169">
        <f>' MC'!D97</f>
        <v>225.6</v>
      </c>
      <c r="G36" s="170">
        <v>233.8</v>
      </c>
      <c r="H36" s="170">
        <f t="shared" si="13"/>
        <v>289.20999999999998</v>
      </c>
      <c r="I36" s="257">
        <f t="shared" si="14"/>
        <v>65245.77</v>
      </c>
      <c r="K36" s="139">
        <f t="shared" si="0"/>
        <v>7.52</v>
      </c>
      <c r="L36" s="139">
        <f t="shared" ref="L36:L38" si="15">F36</f>
        <v>225.6</v>
      </c>
      <c r="M36" s="139">
        <f t="shared" si="1"/>
        <v>7.52</v>
      </c>
      <c r="R36" s="125" t="s">
        <v>1021</v>
      </c>
      <c r="S36" s="125">
        <f t="shared" si="2"/>
        <v>1.9680129652955738E-3</v>
      </c>
    </row>
    <row r="37" spans="1:19" ht="24.95" customHeight="1" x14ac:dyDescent="0.2">
      <c r="A37" s="57" t="s">
        <v>906</v>
      </c>
      <c r="B37" s="168" t="s">
        <v>56</v>
      </c>
      <c r="C37" s="168" t="s">
        <v>16</v>
      </c>
      <c r="D37" s="145" t="s">
        <v>57</v>
      </c>
      <c r="E37" s="168" t="s">
        <v>23</v>
      </c>
      <c r="F37" s="169">
        <f>' MC'!D102</f>
        <v>300</v>
      </c>
      <c r="G37" s="170">
        <v>26.84</v>
      </c>
      <c r="H37" s="170">
        <f t="shared" si="13"/>
        <v>33.200000000000003</v>
      </c>
      <c r="I37" s="257">
        <f t="shared" si="14"/>
        <v>9960</v>
      </c>
      <c r="K37" s="139">
        <f t="shared" si="0"/>
        <v>10</v>
      </c>
      <c r="L37" s="139">
        <f t="shared" si="15"/>
        <v>300</v>
      </c>
      <c r="M37" s="139">
        <f t="shared" si="1"/>
        <v>10</v>
      </c>
      <c r="R37" s="125" t="s">
        <v>1021</v>
      </c>
      <c r="S37" s="125">
        <f t="shared" si="2"/>
        <v>3.0042421346769175E-4</v>
      </c>
    </row>
    <row r="38" spans="1:19" ht="19.5" customHeight="1" thickBot="1" x14ac:dyDescent="0.25">
      <c r="A38" s="222" t="s">
        <v>907</v>
      </c>
      <c r="B38" s="223">
        <v>6191</v>
      </c>
      <c r="C38" s="223" t="s">
        <v>19</v>
      </c>
      <c r="D38" s="224" t="s">
        <v>703</v>
      </c>
      <c r="E38" s="223" t="s">
        <v>21</v>
      </c>
      <c r="F38" s="225">
        <f>' MC'!D105</f>
        <v>420000</v>
      </c>
      <c r="G38" s="226">
        <v>0.44</v>
      </c>
      <c r="H38" s="226">
        <f t="shared" ref="H38" si="16">TRUNC(G38 * (1 + 23.7 / 100), 2)</f>
        <v>0.54</v>
      </c>
      <c r="I38" s="261">
        <f t="shared" ref="I38" si="17">TRUNC(F38 * H38, 2)</f>
        <v>226800</v>
      </c>
      <c r="K38" s="139">
        <f t="shared" si="0"/>
        <v>14000</v>
      </c>
      <c r="L38" s="139">
        <f t="shared" si="15"/>
        <v>420000</v>
      </c>
      <c r="M38" s="139">
        <f t="shared" si="1"/>
        <v>14000</v>
      </c>
      <c r="R38" s="125" t="s">
        <v>1021</v>
      </c>
      <c r="S38" s="125">
        <f t="shared" si="2"/>
        <v>6.840985101854667E-3</v>
      </c>
    </row>
    <row r="40" spans="1:19" x14ac:dyDescent="0.2">
      <c r="K40" s="186"/>
      <c r="L40" s="139">
        <f>I5</f>
        <v>33153120</v>
      </c>
    </row>
    <row r="41" spans="1:19" x14ac:dyDescent="0.2">
      <c r="F41" s="174"/>
      <c r="G41" s="184"/>
      <c r="L41" s="186">
        <f>L40/(L5*7*2000)</f>
        <v>78.936000000000007</v>
      </c>
    </row>
    <row r="42" spans="1:19" x14ac:dyDescent="0.2">
      <c r="F42" s="184"/>
      <c r="L42" s="270">
        <f>ROUND(L41,3)</f>
        <v>78.936000000000007</v>
      </c>
    </row>
    <row r="43" spans="1:19" x14ac:dyDescent="0.2">
      <c r="L43" s="139">
        <f>L42*F38</f>
        <v>33153120.000000004</v>
      </c>
    </row>
    <row r="44" spans="1:19" x14ac:dyDescent="0.2">
      <c r="L44" s="139">
        <f>L43-L40</f>
        <v>0</v>
      </c>
      <c r="M44" s="174"/>
    </row>
  </sheetData>
  <mergeCells count="5">
    <mergeCell ref="A3:I3"/>
    <mergeCell ref="E1:F1"/>
    <mergeCell ref="G1:H1"/>
    <mergeCell ref="E2:F2"/>
    <mergeCell ref="G2:H2"/>
  </mergeCells>
  <phoneticPr fontId="35" type="noConversion"/>
  <pageMargins left="0.51181102362204722" right="0.51181102362204722" top="0.98425196850393704" bottom="0.98425196850393704" header="0.51181102362204722" footer="0.51181102362204722"/>
  <pageSetup paperSize="9" scale="76" orientation="landscape" r:id="rId1"/>
  <headerFooter>
    <oddHeader xml:space="preserve">&amp;L &amp;CCompanhia de Desenvolvimento dos Vales do São Francisco e do Parnaíba
</oddHeader>
    <oddFooter xml:space="preserve">&amp;L &amp;CCODEVASF -  6ªSR Juazeiro / BA
</oddFooter>
  </headerFooter>
  <rowBreaks count="1" manualBreakCount="1">
    <brk id="19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08"/>
  <sheetViews>
    <sheetView tabSelected="1" view="pageBreakPreview" zoomScale="90" zoomScaleNormal="85" zoomScaleSheetLayoutView="90" workbookViewId="0">
      <selection activeCell="E4" sqref="E4"/>
    </sheetView>
  </sheetViews>
  <sheetFormatPr defaultRowHeight="14.25" x14ac:dyDescent="0.2"/>
  <cols>
    <col min="1" max="1" width="10" style="183" bestFit="1" customWidth="1"/>
    <col min="2" max="2" width="60" style="125" bestFit="1" customWidth="1"/>
    <col min="3" max="3" width="8" style="125" bestFit="1" customWidth="1"/>
    <col min="4" max="4" width="14.5" style="125" bestFit="1" customWidth="1"/>
    <col min="5" max="5" width="9" style="140"/>
    <col min="6" max="6" width="22.125" style="125" customWidth="1"/>
    <col min="7" max="7" width="10.25" style="125" bestFit="1" customWidth="1"/>
    <col min="8" max="8" width="17.625" style="125" customWidth="1"/>
    <col min="9" max="9" width="9.125" style="139" bestFit="1" customWidth="1"/>
    <col min="10" max="10" width="9.25" style="139" bestFit="1" customWidth="1"/>
    <col min="11" max="11" width="10.25" style="139" bestFit="1" customWidth="1"/>
    <col min="12" max="12" width="7.125" style="125" customWidth="1"/>
    <col min="13" max="13" width="15" style="125" customWidth="1"/>
    <col min="14" max="16384" width="9" style="125"/>
  </cols>
  <sheetData>
    <row r="1" spans="1:14" ht="15.75" thickBot="1" x14ac:dyDescent="0.25">
      <c r="A1" s="355"/>
      <c r="B1" s="348"/>
      <c r="C1" s="348"/>
      <c r="D1" s="356"/>
    </row>
    <row r="2" spans="1:14" ht="30" customHeight="1" x14ac:dyDescent="0.2">
      <c r="A2" s="360" t="str">
        <f>RESUMO!A3</f>
        <v>EXECUÇÃO DE CAPA ASFÁLTICA EM CONCRETO BETUMINOSO USINADO A QUENTE (CBUQ)</v>
      </c>
      <c r="B2" s="361"/>
      <c r="C2" s="361"/>
      <c r="D2" s="362"/>
      <c r="E2" s="330"/>
      <c r="F2" s="331"/>
      <c r="G2" s="332"/>
      <c r="I2" s="139" t="s">
        <v>828</v>
      </c>
      <c r="J2" s="139" t="s">
        <v>829</v>
      </c>
      <c r="M2" s="125" t="s">
        <v>832</v>
      </c>
      <c r="N2" s="269">
        <f>'CAPA EM CBUQ'!L5</f>
        <v>30</v>
      </c>
    </row>
    <row r="3" spans="1:14" ht="30" customHeight="1" x14ac:dyDescent="0.2">
      <c r="A3" s="357" t="s">
        <v>1030</v>
      </c>
      <c r="B3" s="358"/>
      <c r="C3" s="358"/>
      <c r="D3" s="359"/>
      <c r="F3" s="173">
        <f>'CAPA EM CBUQ'!I5</f>
        <v>33153120</v>
      </c>
      <c r="H3" s="125" t="s">
        <v>827</v>
      </c>
      <c r="I3" s="139">
        <v>7</v>
      </c>
      <c r="J3" s="139">
        <v>2000</v>
      </c>
      <c r="K3" s="139">
        <f>I3*J3</f>
        <v>14000</v>
      </c>
      <c r="L3" s="125" t="s">
        <v>55</v>
      </c>
      <c r="M3" s="175">
        <f>K3*$N$2</f>
        <v>420000</v>
      </c>
    </row>
    <row r="4" spans="1:14" ht="30" customHeight="1" x14ac:dyDescent="0.2">
      <c r="A4" s="253" t="s">
        <v>5</v>
      </c>
      <c r="B4" s="266" t="s">
        <v>8</v>
      </c>
      <c r="C4" s="266" t="s">
        <v>9</v>
      </c>
      <c r="D4" s="267" t="s">
        <v>10</v>
      </c>
      <c r="H4" s="125" t="s">
        <v>830</v>
      </c>
      <c r="I4" s="139">
        <v>6.5</v>
      </c>
      <c r="J4" s="139">
        <f>J3</f>
        <v>2000</v>
      </c>
      <c r="K4" s="139">
        <f>I4*J4</f>
        <v>13000</v>
      </c>
      <c r="L4" s="125" t="s">
        <v>55</v>
      </c>
      <c r="M4" s="175">
        <f t="shared" ref="M4:M100" si="0">K4*$N$2</f>
        <v>390000</v>
      </c>
    </row>
    <row r="5" spans="1:14" ht="30" customHeight="1" x14ac:dyDescent="0.2">
      <c r="A5" s="254" t="s">
        <v>661</v>
      </c>
      <c r="B5" s="235" t="s">
        <v>30</v>
      </c>
      <c r="C5" s="236" t="s">
        <v>31</v>
      </c>
      <c r="D5" s="237">
        <f>TRUNC(D6*D7,2)</f>
        <v>60000</v>
      </c>
      <c r="H5" s="142" t="s">
        <v>831</v>
      </c>
      <c r="J5" s="139">
        <f>J4</f>
        <v>2000</v>
      </c>
      <c r="K5" s="139">
        <f>J5</f>
        <v>2000</v>
      </c>
      <c r="L5" s="125" t="s">
        <v>31</v>
      </c>
      <c r="M5" s="175">
        <f t="shared" si="0"/>
        <v>60000</v>
      </c>
      <c r="N5" s="175">
        <f>M5-D5</f>
        <v>0</v>
      </c>
    </row>
    <row r="6" spans="1:14" ht="30" customHeight="1" x14ac:dyDescent="0.2">
      <c r="A6" s="248"/>
      <c r="B6" s="238" t="s">
        <v>95</v>
      </c>
      <c r="C6" s="239" t="s">
        <v>96</v>
      </c>
      <c r="D6" s="240">
        <f>N2</f>
        <v>30</v>
      </c>
      <c r="H6" s="142"/>
      <c r="M6" s="175">
        <f t="shared" si="0"/>
        <v>0</v>
      </c>
    </row>
    <row r="7" spans="1:14" ht="30" customHeight="1" x14ac:dyDescent="0.2">
      <c r="A7" s="248"/>
      <c r="B7" s="238" t="s">
        <v>103</v>
      </c>
      <c r="C7" s="239" t="s">
        <v>31</v>
      </c>
      <c r="D7" s="241">
        <v>2000</v>
      </c>
      <c r="M7" s="175">
        <f t="shared" si="0"/>
        <v>0</v>
      </c>
    </row>
    <row r="8" spans="1:14" ht="30" customHeight="1" x14ac:dyDescent="0.2">
      <c r="A8" s="254" t="s">
        <v>660</v>
      </c>
      <c r="B8" s="235" t="s">
        <v>101</v>
      </c>
      <c r="C8" s="236" t="s">
        <v>35</v>
      </c>
      <c r="D8" s="237">
        <f>TRUNC(D9*D10,2)</f>
        <v>60</v>
      </c>
      <c r="H8" s="125" t="s">
        <v>833</v>
      </c>
      <c r="J8" s="139">
        <f>J5/1000</f>
        <v>2</v>
      </c>
      <c r="K8" s="139">
        <f>J8</f>
        <v>2</v>
      </c>
      <c r="L8" s="125" t="s">
        <v>106</v>
      </c>
      <c r="M8" s="175">
        <f t="shared" ref="M8" si="1">K8*$N$2</f>
        <v>60</v>
      </c>
      <c r="N8" s="175">
        <f>M8-D8</f>
        <v>0</v>
      </c>
    </row>
    <row r="9" spans="1:14" ht="30" customHeight="1" x14ac:dyDescent="0.2">
      <c r="A9" s="248"/>
      <c r="B9" s="238" t="s">
        <v>95</v>
      </c>
      <c r="C9" s="239" t="s">
        <v>96</v>
      </c>
      <c r="D9" s="240">
        <f>D6</f>
        <v>30</v>
      </c>
      <c r="M9" s="175">
        <f t="shared" si="0"/>
        <v>0</v>
      </c>
    </row>
    <row r="10" spans="1:14" ht="30" customHeight="1" x14ac:dyDescent="0.2">
      <c r="A10" s="248"/>
      <c r="B10" s="238" t="s">
        <v>103</v>
      </c>
      <c r="C10" s="239" t="s">
        <v>99</v>
      </c>
      <c r="D10" s="241">
        <f>D7/1000</f>
        <v>2</v>
      </c>
      <c r="M10" s="175">
        <f t="shared" si="0"/>
        <v>0</v>
      </c>
    </row>
    <row r="11" spans="1:14" ht="30" customHeight="1" x14ac:dyDescent="0.2">
      <c r="A11" s="253">
        <v>2</v>
      </c>
      <c r="B11" s="232" t="s">
        <v>13</v>
      </c>
      <c r="C11" s="232"/>
      <c r="D11" s="233"/>
      <c r="M11" s="175">
        <f t="shared" si="0"/>
        <v>0</v>
      </c>
    </row>
    <row r="12" spans="1:14" ht="30" customHeight="1" x14ac:dyDescent="0.2">
      <c r="A12" s="254" t="s">
        <v>881</v>
      </c>
      <c r="B12" s="235" t="s">
        <v>90</v>
      </c>
      <c r="C12" s="236" t="s">
        <v>17</v>
      </c>
      <c r="D12" s="237">
        <f>TRUNC(D13*D14*D15,2)</f>
        <v>25530</v>
      </c>
      <c r="F12" s="139">
        <f>D13*D14*D15</f>
        <v>25530</v>
      </c>
      <c r="G12" s="141"/>
      <c r="M12" s="175">
        <f t="shared" si="0"/>
        <v>0</v>
      </c>
    </row>
    <row r="13" spans="1:14" ht="30" customHeight="1" x14ac:dyDescent="0.2">
      <c r="A13" s="248"/>
      <c r="B13" s="238" t="s">
        <v>95</v>
      </c>
      <c r="C13" s="239" t="s">
        <v>96</v>
      </c>
      <c r="D13" s="242">
        <f>D9</f>
        <v>30</v>
      </c>
      <c r="M13" s="175">
        <f t="shared" si="0"/>
        <v>0</v>
      </c>
    </row>
    <row r="14" spans="1:14" ht="30" customHeight="1" x14ac:dyDescent="0.2">
      <c r="A14" s="248"/>
      <c r="B14" s="238" t="s">
        <v>97</v>
      </c>
      <c r="C14" s="239" t="s">
        <v>98</v>
      </c>
      <c r="D14" s="243">
        <f>'MOB E DESM'!H30</f>
        <v>85.1</v>
      </c>
      <c r="F14" s="139"/>
      <c r="M14" s="175">
        <f t="shared" si="0"/>
        <v>0</v>
      </c>
    </row>
    <row r="15" spans="1:14" ht="30" customHeight="1" x14ac:dyDescent="0.2">
      <c r="A15" s="248"/>
      <c r="B15" s="238" t="s">
        <v>872</v>
      </c>
      <c r="C15" s="239" t="s">
        <v>99</v>
      </c>
      <c r="D15" s="243">
        <v>10</v>
      </c>
      <c r="M15" s="175">
        <f t="shared" si="0"/>
        <v>0</v>
      </c>
    </row>
    <row r="16" spans="1:14" ht="30" customHeight="1" x14ac:dyDescent="0.2">
      <c r="A16" s="254" t="s">
        <v>882</v>
      </c>
      <c r="B16" s="235" t="s">
        <v>20</v>
      </c>
      <c r="C16" s="236" t="s">
        <v>21</v>
      </c>
      <c r="D16" s="237">
        <f>TRUNC(D17*D18,2)</f>
        <v>194.4</v>
      </c>
      <c r="F16" s="125">
        <f>D17*D18</f>
        <v>194.4</v>
      </c>
      <c r="M16" s="175">
        <f t="shared" si="0"/>
        <v>0</v>
      </c>
    </row>
    <row r="17" spans="1:13" ht="30" customHeight="1" x14ac:dyDescent="0.2">
      <c r="A17" s="248"/>
      <c r="B17" s="238" t="s">
        <v>95</v>
      </c>
      <c r="C17" s="239" t="s">
        <v>96</v>
      </c>
      <c r="D17" s="240">
        <f>D13</f>
        <v>30</v>
      </c>
      <c r="M17" s="175">
        <f t="shared" si="0"/>
        <v>0</v>
      </c>
    </row>
    <row r="18" spans="1:13" ht="30" customHeight="1" x14ac:dyDescent="0.2">
      <c r="A18" s="248"/>
      <c r="B18" s="238" t="s">
        <v>834</v>
      </c>
      <c r="C18" s="239" t="s">
        <v>21</v>
      </c>
      <c r="D18" s="241">
        <f>3.6*1.8</f>
        <v>6.48</v>
      </c>
      <c r="M18" s="175">
        <f t="shared" si="0"/>
        <v>0</v>
      </c>
    </row>
    <row r="19" spans="1:13" ht="30" customHeight="1" x14ac:dyDescent="0.2">
      <c r="A19" s="254" t="s">
        <v>883</v>
      </c>
      <c r="B19" s="235" t="s">
        <v>100</v>
      </c>
      <c r="C19" s="236" t="s">
        <v>1025</v>
      </c>
      <c r="D19" s="237">
        <v>1</v>
      </c>
      <c r="M19" s="175">
        <f t="shared" si="0"/>
        <v>0</v>
      </c>
    </row>
    <row r="20" spans="1:13" ht="30" customHeight="1" x14ac:dyDescent="0.2">
      <c r="A20" s="254" t="s">
        <v>884</v>
      </c>
      <c r="B20" s="235" t="s">
        <v>25</v>
      </c>
      <c r="C20" s="236" t="s">
        <v>26</v>
      </c>
      <c r="D20" s="237">
        <f>D17</f>
        <v>30</v>
      </c>
      <c r="M20" s="175">
        <f t="shared" si="0"/>
        <v>0</v>
      </c>
    </row>
    <row r="21" spans="1:13" ht="30" customHeight="1" x14ac:dyDescent="0.2">
      <c r="A21" s="253" t="s">
        <v>885</v>
      </c>
      <c r="B21" s="232" t="s">
        <v>36</v>
      </c>
      <c r="C21" s="232"/>
      <c r="D21" s="234"/>
      <c r="M21" s="175">
        <f t="shared" si="0"/>
        <v>0</v>
      </c>
    </row>
    <row r="22" spans="1:13" ht="30" customHeight="1" x14ac:dyDescent="0.2">
      <c r="A22" s="254" t="s">
        <v>887</v>
      </c>
      <c r="B22" s="235" t="s">
        <v>659</v>
      </c>
      <c r="C22" s="236" t="s">
        <v>98</v>
      </c>
      <c r="D22" s="237">
        <f>TRUNC(D23*D24*D25,2)</f>
        <v>175.5</v>
      </c>
      <c r="F22" s="125">
        <f>D25*D24</f>
        <v>5.85</v>
      </c>
      <c r="G22" s="175">
        <f>F22*D23</f>
        <v>175.5</v>
      </c>
      <c r="M22" s="175">
        <f t="shared" si="0"/>
        <v>0</v>
      </c>
    </row>
    <row r="23" spans="1:13" ht="30" customHeight="1" x14ac:dyDescent="0.2">
      <c r="A23" s="248"/>
      <c r="B23" s="238" t="s">
        <v>95</v>
      </c>
      <c r="C23" s="239" t="s">
        <v>96</v>
      </c>
      <c r="D23" s="240">
        <f>D6</f>
        <v>30</v>
      </c>
      <c r="M23" s="175">
        <f t="shared" si="0"/>
        <v>0</v>
      </c>
    </row>
    <row r="24" spans="1:13" ht="30" customHeight="1" x14ac:dyDescent="0.2">
      <c r="A24" s="248"/>
      <c r="B24" s="244" t="s">
        <v>658</v>
      </c>
      <c r="C24" s="239" t="s">
        <v>656</v>
      </c>
      <c r="D24" s="245">
        <v>4.4999999999999999E-4</v>
      </c>
      <c r="F24" s="125">
        <f>D25*D24</f>
        <v>5.85</v>
      </c>
      <c r="H24" s="174">
        <f>F24*D23</f>
        <v>175.5</v>
      </c>
      <c r="M24" s="175">
        <f t="shared" si="0"/>
        <v>0</v>
      </c>
    </row>
    <row r="25" spans="1:13" ht="30" customHeight="1" x14ac:dyDescent="0.2">
      <c r="A25" s="248"/>
      <c r="B25" s="238" t="s">
        <v>683</v>
      </c>
      <c r="C25" s="239" t="s">
        <v>55</v>
      </c>
      <c r="D25" s="241">
        <f>2000*6.5</f>
        <v>13000</v>
      </c>
      <c r="M25" s="175">
        <f t="shared" si="0"/>
        <v>0</v>
      </c>
    </row>
    <row r="26" spans="1:13" ht="45" customHeight="1" x14ac:dyDescent="0.2">
      <c r="A26" s="254" t="s">
        <v>888</v>
      </c>
      <c r="B26" s="235" t="s">
        <v>669</v>
      </c>
      <c r="C26" s="236" t="s">
        <v>39</v>
      </c>
      <c r="D26" s="237">
        <f>TRUNC(D31*D32,2)*D27</f>
        <v>2885.1</v>
      </c>
      <c r="F26" s="125">
        <f>TRUNC(D26/D27,2)</f>
        <v>96.17</v>
      </c>
      <c r="H26" s="185">
        <f>D26</f>
        <v>2885.1</v>
      </c>
      <c r="M26" s="175">
        <f t="shared" si="0"/>
        <v>0</v>
      </c>
    </row>
    <row r="27" spans="1:13" ht="30" customHeight="1" x14ac:dyDescent="0.2">
      <c r="A27" s="248"/>
      <c r="B27" s="238" t="s">
        <v>95</v>
      </c>
      <c r="C27" s="239" t="s">
        <v>96</v>
      </c>
      <c r="D27" s="240">
        <f>D23</f>
        <v>30</v>
      </c>
      <c r="F27" s="175"/>
      <c r="M27" s="175">
        <f t="shared" si="0"/>
        <v>0</v>
      </c>
    </row>
    <row r="28" spans="1:13" ht="30" customHeight="1" x14ac:dyDescent="0.2">
      <c r="A28" s="248"/>
      <c r="B28" s="238" t="s">
        <v>824</v>
      </c>
      <c r="C28" s="239" t="s">
        <v>104</v>
      </c>
      <c r="D28" s="241">
        <v>2.34</v>
      </c>
      <c r="M28" s="175">
        <f t="shared" si="0"/>
        <v>0</v>
      </c>
    </row>
    <row r="29" spans="1:13" ht="30" customHeight="1" x14ac:dyDescent="0.2">
      <c r="A29" s="248"/>
      <c r="B29" s="244" t="s">
        <v>684</v>
      </c>
      <c r="C29" s="239" t="s">
        <v>49</v>
      </c>
      <c r="D29" s="240">
        <f>D25*0.02</f>
        <v>260</v>
      </c>
      <c r="F29" s="175">
        <f>D25*0.05</f>
        <v>650</v>
      </c>
      <c r="G29" s="125">
        <f>F29*D28</f>
        <v>1521</v>
      </c>
      <c r="M29" s="175">
        <f t="shared" si="0"/>
        <v>0</v>
      </c>
    </row>
    <row r="30" spans="1:13" ht="30" customHeight="1" x14ac:dyDescent="0.2">
      <c r="A30" s="248"/>
      <c r="B30" s="244" t="s">
        <v>685</v>
      </c>
      <c r="C30" s="239" t="s">
        <v>49</v>
      </c>
      <c r="D30" s="240">
        <f>D25*0.03</f>
        <v>390</v>
      </c>
      <c r="F30" s="184">
        <f>G29*D32</f>
        <v>96.17282999999999</v>
      </c>
      <c r="H30" s="125">
        <f>F30*D27</f>
        <v>2885.1848999999997</v>
      </c>
      <c r="M30" s="175">
        <f t="shared" si="0"/>
        <v>0</v>
      </c>
    </row>
    <row r="31" spans="1:13" ht="30" customHeight="1" x14ac:dyDescent="0.2">
      <c r="A31" s="248"/>
      <c r="B31" s="244" t="s">
        <v>657</v>
      </c>
      <c r="C31" s="239" t="s">
        <v>98</v>
      </c>
      <c r="D31" s="240">
        <f>(D29+D30)*D28</f>
        <v>1521</v>
      </c>
      <c r="F31" s="175"/>
      <c r="M31" s="175">
        <f t="shared" si="0"/>
        <v>0</v>
      </c>
    </row>
    <row r="32" spans="1:13" ht="30" customHeight="1" x14ac:dyDescent="0.2">
      <c r="A32" s="248"/>
      <c r="B32" s="244" t="s">
        <v>825</v>
      </c>
      <c r="C32" s="239" t="s">
        <v>686</v>
      </c>
      <c r="D32" s="246">
        <v>6.3229999999999995E-2</v>
      </c>
      <c r="M32" s="175">
        <f t="shared" si="0"/>
        <v>0</v>
      </c>
    </row>
    <row r="33" spans="1:13" ht="45" customHeight="1" x14ac:dyDescent="0.2">
      <c r="A33" s="254" t="s">
        <v>889</v>
      </c>
      <c r="B33" s="235" t="s">
        <v>108</v>
      </c>
      <c r="C33" s="236" t="s">
        <v>44</v>
      </c>
      <c r="D33" s="237">
        <f>TRUNC(D35*D34,2)</f>
        <v>91818</v>
      </c>
      <c r="F33" s="175">
        <f>D33/N2</f>
        <v>3060.6</v>
      </c>
      <c r="M33" s="175">
        <f t="shared" si="0"/>
        <v>0</v>
      </c>
    </row>
    <row r="34" spans="1:13" ht="30" customHeight="1" x14ac:dyDescent="0.2">
      <c r="A34" s="248"/>
      <c r="B34" s="238" t="s">
        <v>826</v>
      </c>
      <c r="C34" s="239" t="s">
        <v>39</v>
      </c>
      <c r="D34" s="241">
        <f>D26+D22</f>
        <v>3060.6</v>
      </c>
      <c r="F34" s="139"/>
      <c r="M34" s="175">
        <f t="shared" si="0"/>
        <v>0</v>
      </c>
    </row>
    <row r="35" spans="1:13" ht="30" customHeight="1" x14ac:dyDescent="0.2">
      <c r="A35" s="248"/>
      <c r="B35" s="238" t="s">
        <v>105</v>
      </c>
      <c r="C35" s="239" t="s">
        <v>106</v>
      </c>
      <c r="D35" s="241">
        <v>30</v>
      </c>
      <c r="M35" s="175">
        <f t="shared" si="0"/>
        <v>0</v>
      </c>
    </row>
    <row r="36" spans="1:13" ht="45" customHeight="1" x14ac:dyDescent="0.2">
      <c r="A36" s="254" t="s">
        <v>890</v>
      </c>
      <c r="B36" s="235" t="s">
        <v>109</v>
      </c>
      <c r="C36" s="236" t="s">
        <v>44</v>
      </c>
      <c r="D36" s="237">
        <f>TRUNC(D38*D37,2)</f>
        <v>615180.6</v>
      </c>
      <c r="F36" s="175">
        <f>D36/N2</f>
        <v>20506.02</v>
      </c>
      <c r="M36" s="175">
        <f t="shared" si="0"/>
        <v>0</v>
      </c>
    </row>
    <row r="37" spans="1:13" ht="30" customHeight="1" x14ac:dyDescent="0.2">
      <c r="A37" s="248"/>
      <c r="B37" s="238" t="s">
        <v>826</v>
      </c>
      <c r="C37" s="239" t="s">
        <v>39</v>
      </c>
      <c r="D37" s="241">
        <f>D34</f>
        <v>3060.6</v>
      </c>
      <c r="F37" s="139">
        <f>F36*D38</f>
        <v>4121710.02</v>
      </c>
      <c r="M37" s="175">
        <f t="shared" si="0"/>
        <v>0</v>
      </c>
    </row>
    <row r="38" spans="1:13" ht="30" customHeight="1" x14ac:dyDescent="0.2">
      <c r="A38" s="248"/>
      <c r="B38" s="238" t="s">
        <v>105</v>
      </c>
      <c r="C38" s="239" t="s">
        <v>106</v>
      </c>
      <c r="D38" s="243">
        <f>'Dist. Mat Betuminoso'!I75-D35</f>
        <v>201</v>
      </c>
      <c r="M38" s="175">
        <f t="shared" si="0"/>
        <v>0</v>
      </c>
    </row>
    <row r="39" spans="1:13" ht="30" customHeight="1" x14ac:dyDescent="0.2">
      <c r="A39" s="253" t="s">
        <v>891</v>
      </c>
      <c r="B39" s="232" t="s">
        <v>46</v>
      </c>
      <c r="C39" s="232"/>
      <c r="D39" s="234"/>
      <c r="M39" s="175">
        <f t="shared" si="0"/>
        <v>0</v>
      </c>
    </row>
    <row r="40" spans="1:13" ht="30" customHeight="1" x14ac:dyDescent="0.2">
      <c r="A40" s="254" t="s">
        <v>892</v>
      </c>
      <c r="B40" s="235" t="s">
        <v>671</v>
      </c>
      <c r="C40" s="236" t="s">
        <v>21</v>
      </c>
      <c r="D40" s="237">
        <f>TRUNC(D41*D42,2)</f>
        <v>390000</v>
      </c>
      <c r="F40" s="139">
        <f>D42*D41</f>
        <v>390000</v>
      </c>
      <c r="M40" s="175">
        <f t="shared" si="0"/>
        <v>0</v>
      </c>
    </row>
    <row r="41" spans="1:13" ht="30" customHeight="1" x14ac:dyDescent="0.2">
      <c r="A41" s="248"/>
      <c r="B41" s="238" t="s">
        <v>95</v>
      </c>
      <c r="C41" s="239" t="s">
        <v>96</v>
      </c>
      <c r="D41" s="240">
        <f>D27</f>
        <v>30</v>
      </c>
      <c r="M41" s="175">
        <f t="shared" si="0"/>
        <v>0</v>
      </c>
    </row>
    <row r="42" spans="1:13" ht="30" customHeight="1" x14ac:dyDescent="0.2">
      <c r="A42" s="248"/>
      <c r="B42" s="238" t="s">
        <v>672</v>
      </c>
      <c r="C42" s="239" t="s">
        <v>21</v>
      </c>
      <c r="D42" s="241">
        <f>6.5*2000</f>
        <v>13000</v>
      </c>
      <c r="M42" s="175">
        <f t="shared" si="0"/>
        <v>0</v>
      </c>
    </row>
    <row r="43" spans="1:13" ht="30" customHeight="1" x14ac:dyDescent="0.2">
      <c r="A43" s="254" t="s">
        <v>893</v>
      </c>
      <c r="B43" s="235" t="s">
        <v>673</v>
      </c>
      <c r="C43" s="236" t="s">
        <v>98</v>
      </c>
      <c r="D43" s="237">
        <f>TRUNC(D46*D45,2)*D44</f>
        <v>18252</v>
      </c>
      <c r="F43" s="175">
        <f>D29+D30</f>
        <v>650</v>
      </c>
      <c r="G43" s="175">
        <f>F43*2.34</f>
        <v>1521</v>
      </c>
      <c r="M43" s="175">
        <f t="shared" si="0"/>
        <v>0</v>
      </c>
    </row>
    <row r="44" spans="1:13" ht="30" customHeight="1" x14ac:dyDescent="0.2">
      <c r="A44" s="248"/>
      <c r="B44" s="238" t="s">
        <v>95</v>
      </c>
      <c r="C44" s="239" t="s">
        <v>96</v>
      </c>
      <c r="D44" s="240">
        <f>D41</f>
        <v>30</v>
      </c>
      <c r="F44" s="175">
        <f>D45+D49</f>
        <v>650</v>
      </c>
      <c r="G44" s="175">
        <f>F44*2.34</f>
        <v>1521</v>
      </c>
      <c r="M44" s="175">
        <f t="shared" si="0"/>
        <v>0</v>
      </c>
    </row>
    <row r="45" spans="1:13" ht="30" customHeight="1" x14ac:dyDescent="0.2">
      <c r="A45" s="248"/>
      <c r="B45" s="238" t="s">
        <v>675</v>
      </c>
      <c r="C45" s="239" t="s">
        <v>49</v>
      </c>
      <c r="D45" s="241">
        <f>D29</f>
        <v>260</v>
      </c>
      <c r="F45" s="175">
        <f>D45/0.02</f>
        <v>13000</v>
      </c>
      <c r="H45" s="175">
        <f>F45*25</f>
        <v>325000</v>
      </c>
      <c r="M45" s="175">
        <f t="shared" si="0"/>
        <v>0</v>
      </c>
    </row>
    <row r="46" spans="1:13" ht="30" customHeight="1" x14ac:dyDescent="0.2">
      <c r="A46" s="248"/>
      <c r="B46" s="238" t="s">
        <v>824</v>
      </c>
      <c r="C46" s="239" t="s">
        <v>104</v>
      </c>
      <c r="D46" s="241">
        <v>2.34</v>
      </c>
      <c r="F46" s="175"/>
      <c r="H46" s="175"/>
      <c r="M46" s="175"/>
    </row>
    <row r="47" spans="1:13" ht="30" customHeight="1" x14ac:dyDescent="0.2">
      <c r="A47" s="254" t="s">
        <v>894</v>
      </c>
      <c r="B47" s="235" t="s">
        <v>674</v>
      </c>
      <c r="C47" s="236" t="s">
        <v>98</v>
      </c>
      <c r="D47" s="237">
        <f>TRUNC(D50*D49,2)*D48</f>
        <v>27378</v>
      </c>
      <c r="H47" s="175">
        <f>H45*0.02</f>
        <v>6500</v>
      </c>
      <c r="M47" s="175">
        <f t="shared" si="0"/>
        <v>0</v>
      </c>
    </row>
    <row r="48" spans="1:13" ht="30" customHeight="1" x14ac:dyDescent="0.2">
      <c r="A48" s="248"/>
      <c r="B48" s="238" t="s">
        <v>95</v>
      </c>
      <c r="C48" s="239" t="s">
        <v>96</v>
      </c>
      <c r="D48" s="240">
        <f>D44</f>
        <v>30</v>
      </c>
      <c r="M48" s="175">
        <f t="shared" si="0"/>
        <v>0</v>
      </c>
    </row>
    <row r="49" spans="1:13" ht="30" customHeight="1" x14ac:dyDescent="0.2">
      <c r="A49" s="248"/>
      <c r="B49" s="238" t="s">
        <v>676</v>
      </c>
      <c r="C49" s="239" t="s">
        <v>49</v>
      </c>
      <c r="D49" s="241">
        <f>D30</f>
        <v>390</v>
      </c>
      <c r="M49" s="175">
        <f t="shared" si="0"/>
        <v>0</v>
      </c>
    </row>
    <row r="50" spans="1:13" ht="30" customHeight="1" x14ac:dyDescent="0.2">
      <c r="A50" s="248"/>
      <c r="B50" s="238" t="s">
        <v>824</v>
      </c>
      <c r="C50" s="239" t="s">
        <v>104</v>
      </c>
      <c r="D50" s="241">
        <v>2.34</v>
      </c>
      <c r="F50" s="175"/>
      <c r="H50" s="175"/>
      <c r="M50" s="175"/>
    </row>
    <row r="51" spans="1:13" ht="30" customHeight="1" x14ac:dyDescent="0.2">
      <c r="A51" s="254" t="s">
        <v>895</v>
      </c>
      <c r="B51" s="235" t="str">
        <f>'CAPA EM CBUQ'!D24</f>
        <v>Transporte com caminhão basculante de 10 m³ - rodovia em revestimento primário  (CBUQ)</v>
      </c>
      <c r="C51" s="236" t="s">
        <v>677</v>
      </c>
      <c r="D51" s="237">
        <f>TRUNC(D52*D53*D54,2)</f>
        <v>456300</v>
      </c>
      <c r="M51" s="175">
        <f t="shared" si="0"/>
        <v>0</v>
      </c>
    </row>
    <row r="52" spans="1:13" ht="30" customHeight="1" x14ac:dyDescent="0.2">
      <c r="A52" s="248"/>
      <c r="B52" s="238" t="s">
        <v>95</v>
      </c>
      <c r="C52" s="239" t="s">
        <v>96</v>
      </c>
      <c r="D52" s="240">
        <f>D48</f>
        <v>30</v>
      </c>
      <c r="M52" s="175">
        <f t="shared" si="0"/>
        <v>0</v>
      </c>
    </row>
    <row r="53" spans="1:13" ht="30" customHeight="1" x14ac:dyDescent="0.2">
      <c r="A53" s="248"/>
      <c r="B53" s="238" t="s">
        <v>866</v>
      </c>
      <c r="C53" s="239" t="s">
        <v>98</v>
      </c>
      <c r="D53" s="246">
        <f>D31</f>
        <v>1521</v>
      </c>
      <c r="F53" s="174"/>
      <c r="M53" s="175">
        <f t="shared" si="0"/>
        <v>0</v>
      </c>
    </row>
    <row r="54" spans="1:13" ht="30" customHeight="1" x14ac:dyDescent="0.2">
      <c r="A54" s="248"/>
      <c r="B54" s="238" t="s">
        <v>872</v>
      </c>
      <c r="C54" s="239" t="s">
        <v>106</v>
      </c>
      <c r="D54" s="241">
        <v>10</v>
      </c>
      <c r="F54" s="174"/>
      <c r="H54" s="175"/>
      <c r="M54" s="175">
        <f t="shared" si="0"/>
        <v>0</v>
      </c>
    </row>
    <row r="55" spans="1:13" ht="30" customHeight="1" x14ac:dyDescent="0.2">
      <c r="A55" s="254" t="s">
        <v>896</v>
      </c>
      <c r="B55" s="235" t="str">
        <f>'CAPA EM CBUQ'!D25</f>
        <v>Transporte com caminhão basculante de 10 m³ - rodovia pavimentada  (CBUQ)</v>
      </c>
      <c r="C55" s="236" t="s">
        <v>677</v>
      </c>
      <c r="D55" s="237">
        <f>TRUNC(D56*D57*D58,2)</f>
        <v>456300</v>
      </c>
      <c r="M55" s="175">
        <f t="shared" ref="M55:M65" si="2">K55*$N$2</f>
        <v>0</v>
      </c>
    </row>
    <row r="56" spans="1:13" ht="30" customHeight="1" x14ac:dyDescent="0.2">
      <c r="A56" s="248"/>
      <c r="B56" s="238" t="s">
        <v>95</v>
      </c>
      <c r="C56" s="239" t="s">
        <v>96</v>
      </c>
      <c r="D56" s="240">
        <f>D52</f>
        <v>30</v>
      </c>
      <c r="M56" s="175">
        <f t="shared" si="2"/>
        <v>0</v>
      </c>
    </row>
    <row r="57" spans="1:13" ht="30" customHeight="1" x14ac:dyDescent="0.2">
      <c r="A57" s="248"/>
      <c r="B57" s="238" t="s">
        <v>866</v>
      </c>
      <c r="C57" s="239" t="s">
        <v>98</v>
      </c>
      <c r="D57" s="246">
        <f>D53</f>
        <v>1521</v>
      </c>
      <c r="F57" s="174"/>
      <c r="M57" s="175">
        <f t="shared" si="2"/>
        <v>0</v>
      </c>
    </row>
    <row r="58" spans="1:13" ht="30" customHeight="1" x14ac:dyDescent="0.2">
      <c r="A58" s="248"/>
      <c r="B58" s="238" t="s">
        <v>872</v>
      </c>
      <c r="C58" s="239" t="s">
        <v>106</v>
      </c>
      <c r="D58" s="241">
        <v>10</v>
      </c>
      <c r="F58" s="174"/>
      <c r="H58" s="175"/>
      <c r="M58" s="175">
        <f t="shared" si="2"/>
        <v>0</v>
      </c>
    </row>
    <row r="59" spans="1:13" ht="30" customHeight="1" x14ac:dyDescent="0.2">
      <c r="A59" s="254" t="s">
        <v>897</v>
      </c>
      <c r="B59" s="235" t="str">
        <f>'CAPA EM CBUQ'!D26</f>
        <v>Transporte com caminhão basculante de 10 m³ - rodovia em revestimento primário  (areia, brita e pedrisco)</v>
      </c>
      <c r="C59" s="236" t="s">
        <v>677</v>
      </c>
      <c r="D59" s="237">
        <f>TRUNC((SUM(D61:D64)*D65)*D57,2)*D60</f>
        <v>401808.60000000003</v>
      </c>
      <c r="M59" s="175">
        <f t="shared" si="2"/>
        <v>0</v>
      </c>
    </row>
    <row r="60" spans="1:13" ht="30" customHeight="1" x14ac:dyDescent="0.2">
      <c r="A60" s="248"/>
      <c r="B60" s="238" t="s">
        <v>95</v>
      </c>
      <c r="C60" s="239" t="s">
        <v>96</v>
      </c>
      <c r="D60" s="240">
        <f>D56</f>
        <v>30</v>
      </c>
      <c r="M60" s="175">
        <f t="shared" si="2"/>
        <v>0</v>
      </c>
    </row>
    <row r="61" spans="1:13" ht="30" customHeight="1" x14ac:dyDescent="0.2">
      <c r="A61" s="248"/>
      <c r="B61" s="238" t="s">
        <v>678</v>
      </c>
      <c r="C61" s="239" t="s">
        <v>98</v>
      </c>
      <c r="D61" s="246">
        <v>0.48713000000000001</v>
      </c>
      <c r="F61" s="174"/>
      <c r="G61" s="139"/>
      <c r="H61" s="175"/>
      <c r="M61" s="175">
        <f t="shared" si="2"/>
        <v>0</v>
      </c>
    </row>
    <row r="62" spans="1:13" ht="30" customHeight="1" x14ac:dyDescent="0.2">
      <c r="A62" s="248"/>
      <c r="B62" s="238" t="s">
        <v>679</v>
      </c>
      <c r="C62" s="239" t="s">
        <v>98</v>
      </c>
      <c r="D62" s="246">
        <v>9.3679999999999999E-2</v>
      </c>
      <c r="F62" s="174"/>
      <c r="M62" s="175">
        <f t="shared" si="2"/>
        <v>0</v>
      </c>
    </row>
    <row r="63" spans="1:13" ht="30" customHeight="1" x14ac:dyDescent="0.2">
      <c r="A63" s="248"/>
      <c r="B63" s="238" t="s">
        <v>680</v>
      </c>
      <c r="C63" s="239" t="s">
        <v>98</v>
      </c>
      <c r="D63" s="246">
        <v>9.3679999999999999E-2</v>
      </c>
      <c r="F63" s="174"/>
      <c r="M63" s="175">
        <f t="shared" si="2"/>
        <v>0</v>
      </c>
    </row>
    <row r="64" spans="1:13" ht="30" customHeight="1" x14ac:dyDescent="0.2">
      <c r="A64" s="248"/>
      <c r="B64" s="238" t="s">
        <v>835</v>
      </c>
      <c r="C64" s="239" t="s">
        <v>98</v>
      </c>
      <c r="D64" s="246">
        <v>0.20609</v>
      </c>
      <c r="F64" s="174"/>
      <c r="M64" s="175">
        <f t="shared" si="2"/>
        <v>0</v>
      </c>
    </row>
    <row r="65" spans="1:13" ht="30" customHeight="1" x14ac:dyDescent="0.2">
      <c r="A65" s="248"/>
      <c r="B65" s="238" t="s">
        <v>872</v>
      </c>
      <c r="C65" s="239" t="s">
        <v>106</v>
      </c>
      <c r="D65" s="241">
        <v>10</v>
      </c>
      <c r="F65" s="174"/>
      <c r="H65" s="175"/>
      <c r="M65" s="175">
        <f t="shared" si="2"/>
        <v>0</v>
      </c>
    </row>
    <row r="66" spans="1:13" ht="30" customHeight="1" x14ac:dyDescent="0.2">
      <c r="A66" s="254" t="s">
        <v>898</v>
      </c>
      <c r="B66" s="235" t="str">
        <f>'CAPA EM CBUQ'!D27</f>
        <v>Transporte com caminhão basculante de 10 m³ - rodovia pavimentada  (areia, brita e pedrisco)</v>
      </c>
      <c r="C66" s="236" t="s">
        <v>677</v>
      </c>
      <c r="D66" s="237">
        <f>TRUNC((SUM(D68:D71)*D72)*D57,2)*D67</f>
        <v>401808.60000000003</v>
      </c>
      <c r="M66" s="175">
        <f t="shared" ref="M66:M72" si="3">K66*$N$2</f>
        <v>0</v>
      </c>
    </row>
    <row r="67" spans="1:13" ht="30" customHeight="1" x14ac:dyDescent="0.2">
      <c r="A67" s="248"/>
      <c r="B67" s="238" t="s">
        <v>95</v>
      </c>
      <c r="C67" s="239" t="s">
        <v>96</v>
      </c>
      <c r="D67" s="240">
        <f>D60</f>
        <v>30</v>
      </c>
      <c r="M67" s="175">
        <f t="shared" si="3"/>
        <v>0</v>
      </c>
    </row>
    <row r="68" spans="1:13" ht="30" customHeight="1" x14ac:dyDescent="0.2">
      <c r="A68" s="248"/>
      <c r="B68" s="238" t="s">
        <v>678</v>
      </c>
      <c r="C68" s="239" t="s">
        <v>98</v>
      </c>
      <c r="D68" s="246">
        <v>0.48713000000000001</v>
      </c>
      <c r="F68" s="174"/>
      <c r="G68" s="139"/>
      <c r="H68" s="175"/>
      <c r="M68" s="175">
        <f t="shared" si="3"/>
        <v>0</v>
      </c>
    </row>
    <row r="69" spans="1:13" ht="30" customHeight="1" x14ac:dyDescent="0.2">
      <c r="A69" s="248"/>
      <c r="B69" s="238" t="s">
        <v>679</v>
      </c>
      <c r="C69" s="239" t="s">
        <v>98</v>
      </c>
      <c r="D69" s="246">
        <v>9.3679999999999999E-2</v>
      </c>
      <c r="F69" s="174"/>
      <c r="M69" s="175">
        <f t="shared" si="3"/>
        <v>0</v>
      </c>
    </row>
    <row r="70" spans="1:13" ht="30" customHeight="1" x14ac:dyDescent="0.2">
      <c r="A70" s="248"/>
      <c r="B70" s="238" t="s">
        <v>680</v>
      </c>
      <c r="C70" s="239" t="s">
        <v>98</v>
      </c>
      <c r="D70" s="246">
        <v>9.3679999999999999E-2</v>
      </c>
      <c r="F70" s="174"/>
      <c r="M70" s="175">
        <f t="shared" si="3"/>
        <v>0</v>
      </c>
    </row>
    <row r="71" spans="1:13" ht="30" customHeight="1" x14ac:dyDescent="0.2">
      <c r="A71" s="248"/>
      <c r="B71" s="238" t="s">
        <v>835</v>
      </c>
      <c r="C71" s="239" t="s">
        <v>98</v>
      </c>
      <c r="D71" s="246">
        <v>0.20609</v>
      </c>
      <c r="F71" s="174"/>
      <c r="M71" s="175">
        <f t="shared" si="3"/>
        <v>0</v>
      </c>
    </row>
    <row r="72" spans="1:13" ht="30" customHeight="1" x14ac:dyDescent="0.2">
      <c r="A72" s="248"/>
      <c r="B72" s="238" t="s">
        <v>872</v>
      </c>
      <c r="C72" s="239" t="s">
        <v>106</v>
      </c>
      <c r="D72" s="241">
        <v>10</v>
      </c>
      <c r="F72" s="174"/>
      <c r="H72" s="175"/>
      <c r="M72" s="175">
        <f t="shared" si="3"/>
        <v>0</v>
      </c>
    </row>
    <row r="73" spans="1:13" ht="30" customHeight="1" x14ac:dyDescent="0.2">
      <c r="A73" s="254" t="s">
        <v>899</v>
      </c>
      <c r="B73" s="235" t="str">
        <f>'CAPA EM CBUQ'!D28</f>
        <v>Transporte com caminhão carroceria de 15 t - rodovia pavimentada (cal hidratada)</v>
      </c>
      <c r="C73" s="236" t="s">
        <v>677</v>
      </c>
      <c r="D73" s="237">
        <f>TRUNC(D75*D76*D31,2)*D74</f>
        <v>25644</v>
      </c>
      <c r="H73" s="175"/>
      <c r="M73" s="175">
        <f t="shared" si="0"/>
        <v>0</v>
      </c>
    </row>
    <row r="74" spans="1:13" ht="30" customHeight="1" x14ac:dyDescent="0.2">
      <c r="A74" s="248"/>
      <c r="B74" s="238" t="s">
        <v>95</v>
      </c>
      <c r="C74" s="239" t="s">
        <v>96</v>
      </c>
      <c r="D74" s="240">
        <f>D52</f>
        <v>30</v>
      </c>
      <c r="M74" s="175">
        <f t="shared" si="0"/>
        <v>0</v>
      </c>
    </row>
    <row r="75" spans="1:13" ht="30" customHeight="1" x14ac:dyDescent="0.2">
      <c r="A75" s="248"/>
      <c r="B75" s="238" t="s">
        <v>681</v>
      </c>
      <c r="C75" s="239" t="s">
        <v>98</v>
      </c>
      <c r="D75" s="246">
        <v>5.62E-2</v>
      </c>
      <c r="H75" s="139"/>
      <c r="M75" s="175">
        <f t="shared" si="0"/>
        <v>0</v>
      </c>
    </row>
    <row r="76" spans="1:13" ht="30" customHeight="1" x14ac:dyDescent="0.2">
      <c r="A76" s="248"/>
      <c r="B76" s="238" t="s">
        <v>872</v>
      </c>
      <c r="C76" s="239" t="s">
        <v>106</v>
      </c>
      <c r="D76" s="241">
        <v>10</v>
      </c>
      <c r="M76" s="175">
        <f t="shared" si="0"/>
        <v>0</v>
      </c>
    </row>
    <row r="77" spans="1:13" ht="30" customHeight="1" x14ac:dyDescent="0.2">
      <c r="A77" s="254" t="s">
        <v>900</v>
      </c>
      <c r="B77" s="235" t="str">
        <f>'CAPA EM CBUQ'!D29</f>
        <v>Transporte com caminhão carroceria de 15 t - rodovia em revestimento primário (cal hidratada)</v>
      </c>
      <c r="C77" s="236" t="s">
        <v>677</v>
      </c>
      <c r="D77" s="237">
        <f>TRUNC(D79*D80*D31,2)*D78</f>
        <v>25644</v>
      </c>
      <c r="H77" s="175"/>
      <c r="M77" s="175">
        <f t="shared" ref="M77:M92" si="4">K77*$N$2</f>
        <v>0</v>
      </c>
    </row>
    <row r="78" spans="1:13" ht="30" customHeight="1" x14ac:dyDescent="0.2">
      <c r="A78" s="248"/>
      <c r="B78" s="238" t="s">
        <v>95</v>
      </c>
      <c r="C78" s="239" t="s">
        <v>96</v>
      </c>
      <c r="D78" s="240">
        <f>D74</f>
        <v>30</v>
      </c>
      <c r="M78" s="175">
        <f t="shared" si="4"/>
        <v>0</v>
      </c>
    </row>
    <row r="79" spans="1:13" ht="30" customHeight="1" x14ac:dyDescent="0.2">
      <c r="A79" s="248"/>
      <c r="B79" s="238" t="s">
        <v>681</v>
      </c>
      <c r="C79" s="239" t="s">
        <v>98</v>
      </c>
      <c r="D79" s="246">
        <v>5.62E-2</v>
      </c>
      <c r="H79" s="139"/>
      <c r="M79" s="175">
        <f t="shared" si="4"/>
        <v>0</v>
      </c>
    </row>
    <row r="80" spans="1:13" ht="30" customHeight="1" x14ac:dyDescent="0.2">
      <c r="A80" s="248"/>
      <c r="B80" s="238" t="s">
        <v>872</v>
      </c>
      <c r="C80" s="239" t="s">
        <v>106</v>
      </c>
      <c r="D80" s="241">
        <v>10</v>
      </c>
      <c r="M80" s="175">
        <f t="shared" si="4"/>
        <v>0</v>
      </c>
    </row>
    <row r="81" spans="1:13" ht="30" customHeight="1" x14ac:dyDescent="0.2">
      <c r="A81" s="268">
        <f>'CAPA EM CBUQ'!A30</f>
        <v>4</v>
      </c>
      <c r="B81" s="232" t="str">
        <f>'CAPA EM CBUQ'!D30</f>
        <v>SINALIZAÇÃO HORIZONTAL E VERTICAL</v>
      </c>
      <c r="C81" s="232"/>
      <c r="D81" s="234"/>
      <c r="F81" s="140"/>
      <c r="M81" s="175">
        <f t="shared" si="4"/>
        <v>0</v>
      </c>
    </row>
    <row r="82" spans="1:13" ht="30" customHeight="1" x14ac:dyDescent="0.2">
      <c r="A82" s="247" t="s">
        <v>901</v>
      </c>
      <c r="B82" s="235" t="str">
        <f>'CAPA EM CBUQ'!D31</f>
        <v>Placa de regulamentação em aço D = 0,60 m - película retrorrefletiva tipo I + SI - fornecimento e implantação</v>
      </c>
      <c r="C82" s="236" t="s">
        <v>9</v>
      </c>
      <c r="D82" s="237">
        <f>TRUNC(D84*D83,2)</f>
        <v>60</v>
      </c>
      <c r="F82" s="140"/>
      <c r="M82" s="175">
        <f t="shared" si="4"/>
        <v>0</v>
      </c>
    </row>
    <row r="83" spans="1:13" ht="30" customHeight="1" x14ac:dyDescent="0.2">
      <c r="A83" s="248"/>
      <c r="B83" s="238" t="s">
        <v>95</v>
      </c>
      <c r="C83" s="239" t="s">
        <v>96</v>
      </c>
      <c r="D83" s="240">
        <f>D78</f>
        <v>30</v>
      </c>
      <c r="F83" s="140"/>
      <c r="M83" s="175">
        <f t="shared" si="4"/>
        <v>0</v>
      </c>
    </row>
    <row r="84" spans="1:13" ht="30" customHeight="1" x14ac:dyDescent="0.2">
      <c r="A84" s="248"/>
      <c r="B84" s="238" t="s">
        <v>837</v>
      </c>
      <c r="C84" s="239" t="s">
        <v>26</v>
      </c>
      <c r="D84" s="241">
        <v>2</v>
      </c>
      <c r="F84" s="140"/>
      <c r="M84" s="175">
        <f t="shared" si="4"/>
        <v>0</v>
      </c>
    </row>
    <row r="85" spans="1:13" ht="30" customHeight="1" x14ac:dyDescent="0.2">
      <c r="A85" s="247" t="s">
        <v>902</v>
      </c>
      <c r="B85" s="235" t="str">
        <f>'CAPA EM CBUQ'!D32</f>
        <v>Suporte metálico galvanizado para placa de advertência ou regulamentação - lado ou diâmetro de 0,60 m - fornecimento eimplantação</v>
      </c>
      <c r="C85" s="236" t="s">
        <v>9</v>
      </c>
      <c r="D85" s="237">
        <f>TRUNC(D87*D86,2)</f>
        <v>60</v>
      </c>
      <c r="F85" s="140"/>
      <c r="M85" s="175">
        <f t="shared" si="4"/>
        <v>0</v>
      </c>
    </row>
    <row r="86" spans="1:13" ht="30" customHeight="1" x14ac:dyDescent="0.2">
      <c r="A86" s="248"/>
      <c r="B86" s="238" t="s">
        <v>95</v>
      </c>
      <c r="C86" s="239" t="s">
        <v>96</v>
      </c>
      <c r="D86" s="240">
        <f>D83</f>
        <v>30</v>
      </c>
      <c r="F86" s="140"/>
      <c r="M86" s="175">
        <f t="shared" si="4"/>
        <v>0</v>
      </c>
    </row>
    <row r="87" spans="1:13" ht="30" customHeight="1" x14ac:dyDescent="0.2">
      <c r="A87" s="248"/>
      <c r="B87" s="238" t="s">
        <v>837</v>
      </c>
      <c r="C87" s="239" t="s">
        <v>26</v>
      </c>
      <c r="D87" s="241">
        <v>2</v>
      </c>
      <c r="F87" s="140"/>
      <c r="M87" s="175">
        <f t="shared" si="4"/>
        <v>0</v>
      </c>
    </row>
    <row r="88" spans="1:13" ht="30" customHeight="1" x14ac:dyDescent="0.2">
      <c r="A88" s="247" t="s">
        <v>903</v>
      </c>
      <c r="B88" s="235" t="str">
        <f>'CAPA EM CBUQ'!D33</f>
        <v>Pintura de faixa com tinta acrílica - espessura de 0,4 mm</v>
      </c>
      <c r="C88" s="236" t="s">
        <v>908</v>
      </c>
      <c r="D88" s="237">
        <f>TRUNC(D90*D91*D92*D89,2)</f>
        <v>18000</v>
      </c>
      <c r="F88" s="140"/>
      <c r="M88" s="175">
        <f t="shared" si="4"/>
        <v>0</v>
      </c>
    </row>
    <row r="89" spans="1:13" ht="30" customHeight="1" x14ac:dyDescent="0.2">
      <c r="A89" s="249"/>
      <c r="B89" s="238" t="s">
        <v>95</v>
      </c>
      <c r="C89" s="239" t="s">
        <v>96</v>
      </c>
      <c r="D89" s="240">
        <f>D86</f>
        <v>30</v>
      </c>
      <c r="F89" s="140"/>
      <c r="M89" s="175">
        <f t="shared" si="4"/>
        <v>0</v>
      </c>
    </row>
    <row r="90" spans="1:13" ht="30" customHeight="1" x14ac:dyDescent="0.2">
      <c r="A90" s="249"/>
      <c r="B90" s="238" t="s">
        <v>909</v>
      </c>
      <c r="C90" s="239" t="s">
        <v>31</v>
      </c>
      <c r="D90" s="240">
        <v>0.1</v>
      </c>
      <c r="F90" s="140"/>
      <c r="G90" s="175"/>
      <c r="M90" s="175"/>
    </row>
    <row r="91" spans="1:13" ht="30" customHeight="1" x14ac:dyDescent="0.2">
      <c r="A91" s="249"/>
      <c r="B91" s="238" t="s">
        <v>910</v>
      </c>
      <c r="C91" s="239" t="s">
        <v>31</v>
      </c>
      <c r="D91" s="240">
        <f>D7</f>
        <v>2000</v>
      </c>
      <c r="F91" s="140"/>
      <c r="M91" s="175"/>
    </row>
    <row r="92" spans="1:13" ht="30" customHeight="1" x14ac:dyDescent="0.2">
      <c r="A92" s="249"/>
      <c r="B92" s="238" t="s">
        <v>1019</v>
      </c>
      <c r="C92" s="239" t="s">
        <v>23</v>
      </c>
      <c r="D92" s="241">
        <v>3</v>
      </c>
      <c r="F92" s="140"/>
      <c r="M92" s="175">
        <f t="shared" si="4"/>
        <v>0</v>
      </c>
    </row>
    <row r="93" spans="1:13" ht="30" customHeight="1" x14ac:dyDescent="0.2">
      <c r="A93" s="253">
        <v>5</v>
      </c>
      <c r="B93" s="232" t="s">
        <v>51</v>
      </c>
      <c r="C93" s="232"/>
      <c r="D93" s="234"/>
      <c r="F93" s="140"/>
      <c r="M93" s="175">
        <f t="shared" si="0"/>
        <v>0</v>
      </c>
    </row>
    <row r="94" spans="1:13" ht="30" customHeight="1" x14ac:dyDescent="0.2">
      <c r="A94" s="247" t="s">
        <v>904</v>
      </c>
      <c r="B94" s="235" t="s">
        <v>53</v>
      </c>
      <c r="C94" s="236" t="s">
        <v>31</v>
      </c>
      <c r="D94" s="237">
        <f>'CAPA EM CBUQ'!F35</f>
        <v>2989.5129999999999</v>
      </c>
      <c r="F94" s="140"/>
      <c r="M94" s="175">
        <f t="shared" si="0"/>
        <v>0</v>
      </c>
    </row>
    <row r="95" spans="1:13" ht="30" customHeight="1" x14ac:dyDescent="0.2">
      <c r="A95" s="248"/>
      <c r="B95" s="238" t="s">
        <v>95</v>
      </c>
      <c r="C95" s="239" t="s">
        <v>96</v>
      </c>
      <c r="D95" s="240">
        <f>D48</f>
        <v>30</v>
      </c>
      <c r="F95" s="140"/>
      <c r="M95" s="175">
        <f t="shared" si="0"/>
        <v>0</v>
      </c>
    </row>
    <row r="96" spans="1:13" ht="30" customHeight="1" x14ac:dyDescent="0.2">
      <c r="A96" s="248"/>
      <c r="B96" s="238" t="s">
        <v>837</v>
      </c>
      <c r="C96" s="239" t="s">
        <v>31</v>
      </c>
      <c r="D96" s="241">
        <f>D94/D95</f>
        <v>99.650433333333325</v>
      </c>
      <c r="F96" s="140"/>
      <c r="M96" s="175">
        <f t="shared" si="0"/>
        <v>0</v>
      </c>
    </row>
    <row r="97" spans="1:13" ht="30" customHeight="1" x14ac:dyDescent="0.2">
      <c r="A97" s="247" t="s">
        <v>905</v>
      </c>
      <c r="B97" s="235" t="s">
        <v>93</v>
      </c>
      <c r="C97" s="236" t="s">
        <v>21</v>
      </c>
      <c r="D97" s="237">
        <f>TRUNC(D98*D99*D100*D101,2)</f>
        <v>225.6</v>
      </c>
      <c r="F97" s="140"/>
      <c r="M97" s="175">
        <f t="shared" si="0"/>
        <v>0</v>
      </c>
    </row>
    <row r="98" spans="1:13" ht="30" customHeight="1" x14ac:dyDescent="0.2">
      <c r="A98" s="248"/>
      <c r="B98" s="238" t="s">
        <v>95</v>
      </c>
      <c r="C98" s="239" t="s">
        <v>96</v>
      </c>
      <c r="D98" s="240">
        <f>D95</f>
        <v>30</v>
      </c>
      <c r="F98" s="140"/>
      <c r="M98" s="175">
        <f t="shared" si="0"/>
        <v>0</v>
      </c>
    </row>
    <row r="99" spans="1:13" ht="30" customHeight="1" x14ac:dyDescent="0.2">
      <c r="A99" s="248"/>
      <c r="B99" s="238" t="s">
        <v>110</v>
      </c>
      <c r="C99" s="239" t="s">
        <v>31</v>
      </c>
      <c r="D99" s="241">
        <f>TRUNC(2*PI()*0.3,2)</f>
        <v>1.88</v>
      </c>
      <c r="F99" s="140"/>
      <c r="M99" s="175">
        <f t="shared" si="0"/>
        <v>0</v>
      </c>
    </row>
    <row r="100" spans="1:13" ht="30" customHeight="1" x14ac:dyDescent="0.2">
      <c r="A100" s="249"/>
      <c r="B100" s="238" t="s">
        <v>696</v>
      </c>
      <c r="C100" s="239" t="s">
        <v>31</v>
      </c>
      <c r="D100" s="241">
        <v>0.2</v>
      </c>
      <c r="F100" s="140"/>
      <c r="M100" s="175">
        <f t="shared" si="0"/>
        <v>0</v>
      </c>
    </row>
    <row r="101" spans="1:13" ht="30" customHeight="1" x14ac:dyDescent="0.2">
      <c r="A101" s="249"/>
      <c r="B101" s="238" t="s">
        <v>697</v>
      </c>
      <c r="C101" s="239" t="s">
        <v>23</v>
      </c>
      <c r="D101" s="241">
        <f>2000/100</f>
        <v>20</v>
      </c>
      <c r="F101" s="140"/>
      <c r="M101" s="175">
        <f t="shared" ref="M101:M107" si="5">K101*$N$2</f>
        <v>0</v>
      </c>
    </row>
    <row r="102" spans="1:13" ht="30" customHeight="1" x14ac:dyDescent="0.2">
      <c r="A102" s="247" t="s">
        <v>906</v>
      </c>
      <c r="B102" s="235" t="s">
        <v>102</v>
      </c>
      <c r="C102" s="236" t="s">
        <v>23</v>
      </c>
      <c r="D102" s="237">
        <f>TRUNC(D103*D104,2)</f>
        <v>300</v>
      </c>
      <c r="F102" s="140"/>
      <c r="M102" s="175">
        <f t="shared" si="5"/>
        <v>0</v>
      </c>
    </row>
    <row r="103" spans="1:13" ht="30" customHeight="1" x14ac:dyDescent="0.2">
      <c r="A103" s="249"/>
      <c r="B103" s="238" t="s">
        <v>95</v>
      </c>
      <c r="C103" s="239" t="s">
        <v>96</v>
      </c>
      <c r="D103" s="240">
        <f>D98</f>
        <v>30</v>
      </c>
      <c r="F103" s="140"/>
      <c r="M103" s="175">
        <f t="shared" si="5"/>
        <v>0</v>
      </c>
    </row>
    <row r="104" spans="1:13" ht="30" customHeight="1" x14ac:dyDescent="0.2">
      <c r="A104" s="249"/>
      <c r="B104" s="238" t="s">
        <v>107</v>
      </c>
      <c r="C104" s="239" t="s">
        <v>23</v>
      </c>
      <c r="D104" s="241">
        <v>10</v>
      </c>
      <c r="F104" s="140"/>
      <c r="M104" s="175">
        <f t="shared" si="5"/>
        <v>0</v>
      </c>
    </row>
    <row r="105" spans="1:13" ht="30" customHeight="1" x14ac:dyDescent="0.2">
      <c r="A105" s="247" t="s">
        <v>907</v>
      </c>
      <c r="B105" s="235" t="s">
        <v>703</v>
      </c>
      <c r="C105" s="236" t="s">
        <v>55</v>
      </c>
      <c r="D105" s="237">
        <f>TRUNC(D106*D107,2)</f>
        <v>420000</v>
      </c>
      <c r="M105" s="175">
        <f t="shared" si="5"/>
        <v>0</v>
      </c>
    </row>
    <row r="106" spans="1:13" ht="30" customHeight="1" x14ac:dyDescent="0.2">
      <c r="A106" s="248"/>
      <c r="B106" s="238" t="s">
        <v>95</v>
      </c>
      <c r="C106" s="239" t="s">
        <v>96</v>
      </c>
      <c r="D106" s="240">
        <f>D103</f>
        <v>30</v>
      </c>
      <c r="M106" s="175">
        <f t="shared" si="5"/>
        <v>0</v>
      </c>
    </row>
    <row r="107" spans="1:13" ht="30" customHeight="1" thickBot="1" x14ac:dyDescent="0.25">
      <c r="A107" s="255"/>
      <c r="B107" s="250" t="s">
        <v>836</v>
      </c>
      <c r="C107" s="251" t="s">
        <v>55</v>
      </c>
      <c r="D107" s="252">
        <f>7*2000</f>
        <v>14000</v>
      </c>
      <c r="M107" s="175">
        <f t="shared" si="5"/>
        <v>0</v>
      </c>
    </row>
    <row r="108" spans="1:13" x14ac:dyDescent="0.2">
      <c r="D108" s="138"/>
    </row>
  </sheetData>
  <mergeCells count="3">
    <mergeCell ref="A1:D1"/>
    <mergeCell ref="A3:D3"/>
    <mergeCell ref="A2:D2"/>
  </mergeCells>
  <pageMargins left="0.51181102362204722" right="0.51181102362204722" top="0.98425196850393704" bottom="0.98425196850393704" header="0.51181102362204722" footer="0.51181102362204722"/>
  <pageSetup paperSize="9" scale="91" fitToHeight="0" orientation="portrait" r:id="rId1"/>
  <headerFooter>
    <oddHeader xml:space="preserve">&amp;L &amp;CCompanhia de Desenvolvimento dos Vales do São Francisco e do Parnaíba
</oddHeader>
    <oddFooter xml:space="preserve">&amp;L &amp;CCODEVASF -  6ªSR Juazeiro / BA
</oddFooter>
  </headerFooter>
  <rowBreaks count="4" manualBreakCount="4">
    <brk id="25" max="3" man="1"/>
    <brk id="46" max="3" man="1"/>
    <brk id="65" max="3" man="1"/>
    <brk id="87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5557A-15EE-40C4-96D0-4A758FED641B}">
  <dimension ref="A1:M1148"/>
  <sheetViews>
    <sheetView tabSelected="1" showOutlineSymbols="0" showWhiteSpace="0" view="pageBreakPreview" zoomScale="90" zoomScaleNormal="90" zoomScaleSheetLayoutView="90" workbookViewId="0">
      <selection activeCell="E4" sqref="E4"/>
    </sheetView>
  </sheetViews>
  <sheetFormatPr defaultRowHeight="14.25" x14ac:dyDescent="0.2"/>
  <cols>
    <col min="1" max="1" width="10" style="167" bestFit="1" customWidth="1"/>
    <col min="2" max="2" width="12" style="167" bestFit="1" customWidth="1"/>
    <col min="3" max="3" width="10" style="167" bestFit="1" customWidth="1"/>
    <col min="4" max="4" width="60" style="167" bestFit="1" customWidth="1"/>
    <col min="5" max="5" width="15" style="167" bestFit="1" customWidth="1"/>
    <col min="6" max="6" width="12" style="167" bestFit="1" customWidth="1"/>
    <col min="7" max="7" width="12" style="287" bestFit="1" customWidth="1"/>
    <col min="8" max="8" width="15.5" style="167" customWidth="1"/>
    <col min="9" max="9" width="12" style="167" bestFit="1" customWidth="1"/>
    <col min="10" max="11" width="14" style="167" bestFit="1" customWidth="1"/>
    <col min="12" max="16384" width="9" style="167"/>
  </cols>
  <sheetData>
    <row r="1" spans="1:10" ht="15" customHeight="1" x14ac:dyDescent="0.2">
      <c r="A1" s="290"/>
      <c r="B1" s="290"/>
      <c r="C1" s="369" t="s">
        <v>112</v>
      </c>
      <c r="D1" s="369"/>
      <c r="E1" s="369" t="s">
        <v>0</v>
      </c>
      <c r="F1" s="369"/>
      <c r="G1" s="369" t="s">
        <v>1</v>
      </c>
      <c r="H1" s="369"/>
      <c r="I1" s="369" t="s">
        <v>2</v>
      </c>
      <c r="J1" s="369"/>
    </row>
    <row r="2" spans="1:10" ht="49.5" customHeight="1" x14ac:dyDescent="0.2">
      <c r="A2" s="329"/>
      <c r="B2" s="329"/>
      <c r="C2" s="370" t="s">
        <v>1004</v>
      </c>
      <c r="D2" s="370"/>
      <c r="E2" s="370" t="s">
        <v>838</v>
      </c>
      <c r="F2" s="370"/>
      <c r="G2" s="370" t="s">
        <v>3</v>
      </c>
      <c r="H2" s="370"/>
      <c r="I2" s="370" t="s">
        <v>4</v>
      </c>
      <c r="J2" s="370"/>
    </row>
    <row r="3" spans="1:10" ht="15" customHeight="1" x14ac:dyDescent="0.25">
      <c r="A3" s="371" t="s">
        <v>112</v>
      </c>
      <c r="B3" s="372"/>
      <c r="C3" s="372"/>
      <c r="D3" s="372"/>
      <c r="E3" s="372"/>
      <c r="F3" s="372"/>
      <c r="G3" s="372"/>
      <c r="H3" s="372"/>
      <c r="I3" s="372"/>
      <c r="J3" s="372"/>
    </row>
    <row r="4" spans="1:10" ht="15" customHeight="1" x14ac:dyDescent="0.25">
      <c r="A4" s="371" t="s">
        <v>113</v>
      </c>
      <c r="B4" s="372"/>
      <c r="C4" s="372"/>
      <c r="D4" s="372"/>
      <c r="E4" s="372"/>
      <c r="F4" s="372"/>
      <c r="G4" s="372"/>
      <c r="H4" s="372"/>
      <c r="I4" s="372"/>
      <c r="J4" s="372"/>
    </row>
    <row r="5" spans="1:10" ht="15" x14ac:dyDescent="0.2">
      <c r="A5" s="291" t="s">
        <v>14</v>
      </c>
      <c r="B5" s="293" t="s">
        <v>6</v>
      </c>
      <c r="C5" s="291" t="s">
        <v>7</v>
      </c>
      <c r="D5" s="291" t="s">
        <v>8</v>
      </c>
      <c r="E5" s="367" t="s">
        <v>114</v>
      </c>
      <c r="F5" s="367"/>
      <c r="G5" s="292" t="s">
        <v>9</v>
      </c>
      <c r="H5" s="293" t="s">
        <v>10</v>
      </c>
      <c r="I5" s="293" t="s">
        <v>11</v>
      </c>
      <c r="J5" s="293" t="s">
        <v>12</v>
      </c>
    </row>
    <row r="6" spans="1:10" ht="25.5" x14ac:dyDescent="0.2">
      <c r="A6" s="294" t="s">
        <v>115</v>
      </c>
      <c r="B6" s="296" t="s">
        <v>29</v>
      </c>
      <c r="C6" s="294" t="s">
        <v>19</v>
      </c>
      <c r="D6" s="294" t="s">
        <v>30</v>
      </c>
      <c r="E6" s="373" t="s">
        <v>157</v>
      </c>
      <c r="F6" s="373"/>
      <c r="G6" s="295" t="s">
        <v>31</v>
      </c>
      <c r="H6" s="298">
        <v>1</v>
      </c>
      <c r="I6" s="297">
        <v>1.21</v>
      </c>
      <c r="J6" s="297">
        <v>1.21</v>
      </c>
    </row>
    <row r="7" spans="1:10" x14ac:dyDescent="0.2">
      <c r="A7" s="306" t="s">
        <v>130</v>
      </c>
      <c r="B7" s="308" t="s">
        <v>158</v>
      </c>
      <c r="C7" s="306" t="s">
        <v>19</v>
      </c>
      <c r="D7" s="306" t="s">
        <v>159</v>
      </c>
      <c r="E7" s="365" t="s">
        <v>160</v>
      </c>
      <c r="F7" s="365"/>
      <c r="G7" s="307" t="s">
        <v>149</v>
      </c>
      <c r="H7" s="311">
        <v>4.4200000000000003E-2</v>
      </c>
      <c r="I7" s="309">
        <v>9.25</v>
      </c>
      <c r="J7" s="309">
        <v>0.4</v>
      </c>
    </row>
    <row r="8" spans="1:10" x14ac:dyDescent="0.2">
      <c r="A8" s="306" t="s">
        <v>130</v>
      </c>
      <c r="B8" s="308" t="s">
        <v>161</v>
      </c>
      <c r="C8" s="306" t="s">
        <v>19</v>
      </c>
      <c r="D8" s="306" t="s">
        <v>162</v>
      </c>
      <c r="E8" s="365" t="s">
        <v>160</v>
      </c>
      <c r="F8" s="365"/>
      <c r="G8" s="307" t="s">
        <v>149</v>
      </c>
      <c r="H8" s="311">
        <v>2.2100000000000002E-2</v>
      </c>
      <c r="I8" s="309">
        <v>15.69</v>
      </c>
      <c r="J8" s="309">
        <v>0.34</v>
      </c>
    </row>
    <row r="9" spans="1:10" x14ac:dyDescent="0.2">
      <c r="A9" s="306" t="s">
        <v>130</v>
      </c>
      <c r="B9" s="308" t="s">
        <v>146</v>
      </c>
      <c r="C9" s="306" t="s">
        <v>19</v>
      </c>
      <c r="D9" s="306" t="s">
        <v>147</v>
      </c>
      <c r="E9" s="365" t="s">
        <v>148</v>
      </c>
      <c r="F9" s="365"/>
      <c r="G9" s="307" t="s">
        <v>149</v>
      </c>
      <c r="H9" s="311">
        <v>1.4E-2</v>
      </c>
      <c r="I9" s="309">
        <v>4.4000000000000004</v>
      </c>
      <c r="J9" s="309">
        <v>0.06</v>
      </c>
    </row>
    <row r="10" spans="1:10" x14ac:dyDescent="0.2">
      <c r="A10" s="306" t="s">
        <v>130</v>
      </c>
      <c r="B10" s="308" t="s">
        <v>163</v>
      </c>
      <c r="C10" s="306" t="s">
        <v>19</v>
      </c>
      <c r="D10" s="306" t="s">
        <v>164</v>
      </c>
      <c r="E10" s="365" t="s">
        <v>160</v>
      </c>
      <c r="F10" s="365"/>
      <c r="G10" s="307" t="s">
        <v>149</v>
      </c>
      <c r="H10" s="311">
        <v>1.6E-2</v>
      </c>
      <c r="I10" s="309">
        <v>17.02</v>
      </c>
      <c r="J10" s="309">
        <v>0.27</v>
      </c>
    </row>
    <row r="11" spans="1:10" x14ac:dyDescent="0.2">
      <c r="A11" s="306" t="s">
        <v>130</v>
      </c>
      <c r="B11" s="308" t="s">
        <v>165</v>
      </c>
      <c r="C11" s="306" t="s">
        <v>19</v>
      </c>
      <c r="D11" s="306" t="s">
        <v>166</v>
      </c>
      <c r="E11" s="365" t="s">
        <v>148</v>
      </c>
      <c r="F11" s="365"/>
      <c r="G11" s="307" t="s">
        <v>127</v>
      </c>
      <c r="H11" s="311">
        <v>2.2100000000000002E-2</v>
      </c>
      <c r="I11" s="309">
        <v>2.25</v>
      </c>
      <c r="J11" s="309">
        <v>0.04</v>
      </c>
    </row>
    <row r="12" spans="1:10" ht="25.5" x14ac:dyDescent="0.2">
      <c r="A12" s="306" t="s">
        <v>130</v>
      </c>
      <c r="B12" s="308" t="s">
        <v>167</v>
      </c>
      <c r="C12" s="306" t="s">
        <v>19</v>
      </c>
      <c r="D12" s="306" t="s">
        <v>168</v>
      </c>
      <c r="E12" s="365" t="s">
        <v>160</v>
      </c>
      <c r="F12" s="365"/>
      <c r="G12" s="307" t="s">
        <v>149</v>
      </c>
      <c r="H12" s="311">
        <v>8.0000000000000002E-3</v>
      </c>
      <c r="I12" s="309">
        <v>13.01</v>
      </c>
      <c r="J12" s="309">
        <v>0.1</v>
      </c>
    </row>
    <row r="13" spans="1:10" x14ac:dyDescent="0.2">
      <c r="A13" s="317"/>
      <c r="B13" s="317"/>
      <c r="C13" s="317"/>
      <c r="D13" s="317"/>
      <c r="E13" s="317"/>
      <c r="F13" s="318"/>
      <c r="G13" s="317"/>
      <c r="H13" s="318"/>
      <c r="I13" s="317"/>
      <c r="J13" s="318"/>
    </row>
    <row r="14" spans="1:10" ht="15" customHeight="1" thickBot="1" x14ac:dyDescent="0.25">
      <c r="A14" s="317"/>
      <c r="B14" s="317"/>
      <c r="C14" s="317"/>
      <c r="D14" s="317"/>
      <c r="E14" s="317" t="s">
        <v>123</v>
      </c>
      <c r="F14" s="318">
        <v>0.28000000000000003</v>
      </c>
      <c r="G14" s="317"/>
      <c r="H14" s="366" t="s">
        <v>124</v>
      </c>
      <c r="I14" s="366"/>
      <c r="J14" s="318">
        <v>1.49</v>
      </c>
    </row>
    <row r="15" spans="1:10" ht="15" thickTop="1" x14ac:dyDescent="0.2">
      <c r="A15" s="299"/>
      <c r="B15" s="299"/>
      <c r="C15" s="299"/>
      <c r="D15" s="299"/>
      <c r="E15" s="299"/>
      <c r="F15" s="299"/>
      <c r="G15" s="299"/>
      <c r="H15" s="299"/>
      <c r="I15" s="299"/>
      <c r="J15" s="299"/>
    </row>
    <row r="16" spans="1:10" ht="15" x14ac:dyDescent="0.2">
      <c r="A16" s="291" t="s">
        <v>18</v>
      </c>
      <c r="B16" s="293" t="s">
        <v>6</v>
      </c>
      <c r="C16" s="291" t="s">
        <v>7</v>
      </c>
      <c r="D16" s="291" t="s">
        <v>8</v>
      </c>
      <c r="E16" s="367" t="s">
        <v>114</v>
      </c>
      <c r="F16" s="367"/>
      <c r="G16" s="292" t="s">
        <v>9</v>
      </c>
      <c r="H16" s="293" t="s">
        <v>10</v>
      </c>
      <c r="I16" s="293" t="s">
        <v>11</v>
      </c>
      <c r="J16" s="293" t="s">
        <v>12</v>
      </c>
    </row>
    <row r="17" spans="1:10" ht="38.25" x14ac:dyDescent="0.2">
      <c r="A17" s="294" t="s">
        <v>115</v>
      </c>
      <c r="B17" s="296" t="s">
        <v>33</v>
      </c>
      <c r="C17" s="294" t="s">
        <v>16</v>
      </c>
      <c r="D17" s="294" t="s">
        <v>34</v>
      </c>
      <c r="E17" s="373" t="s">
        <v>169</v>
      </c>
      <c r="F17" s="373"/>
      <c r="G17" s="295" t="s">
        <v>35</v>
      </c>
      <c r="H17" s="298">
        <v>1</v>
      </c>
      <c r="I17" s="297">
        <v>2324.42</v>
      </c>
      <c r="J17" s="297">
        <v>2324.42</v>
      </c>
    </row>
    <row r="18" spans="1:10" ht="25.5" x14ac:dyDescent="0.2">
      <c r="A18" s="300" t="s">
        <v>117</v>
      </c>
      <c r="B18" s="302" t="s">
        <v>170</v>
      </c>
      <c r="C18" s="300" t="s">
        <v>38</v>
      </c>
      <c r="D18" s="300" t="s">
        <v>171</v>
      </c>
      <c r="E18" s="368" t="s">
        <v>116</v>
      </c>
      <c r="F18" s="368"/>
      <c r="G18" s="301" t="s">
        <v>127</v>
      </c>
      <c r="H18" s="305">
        <v>12</v>
      </c>
      <c r="I18" s="303">
        <v>167.29</v>
      </c>
      <c r="J18" s="303">
        <v>2007.48</v>
      </c>
    </row>
    <row r="19" spans="1:10" ht="25.5" x14ac:dyDescent="0.2">
      <c r="A19" s="300" t="s">
        <v>117</v>
      </c>
      <c r="B19" s="302" t="s">
        <v>172</v>
      </c>
      <c r="C19" s="300" t="s">
        <v>38</v>
      </c>
      <c r="D19" s="300" t="s">
        <v>173</v>
      </c>
      <c r="E19" s="368" t="s">
        <v>116</v>
      </c>
      <c r="F19" s="368"/>
      <c r="G19" s="301" t="s">
        <v>127</v>
      </c>
      <c r="H19" s="305">
        <v>4</v>
      </c>
      <c r="I19" s="303">
        <v>28.64</v>
      </c>
      <c r="J19" s="303">
        <v>114.56</v>
      </c>
    </row>
    <row r="20" spans="1:10" ht="25.5" x14ac:dyDescent="0.2">
      <c r="A20" s="300" t="s">
        <v>117</v>
      </c>
      <c r="B20" s="302" t="s">
        <v>174</v>
      </c>
      <c r="C20" s="300" t="s">
        <v>38</v>
      </c>
      <c r="D20" s="300" t="s">
        <v>175</v>
      </c>
      <c r="E20" s="368" t="s">
        <v>116</v>
      </c>
      <c r="F20" s="368"/>
      <c r="G20" s="301" t="s">
        <v>127</v>
      </c>
      <c r="H20" s="305">
        <v>6</v>
      </c>
      <c r="I20" s="303">
        <v>33.729999999999997</v>
      </c>
      <c r="J20" s="303">
        <v>202.38</v>
      </c>
    </row>
    <row r="21" spans="1:10" x14ac:dyDescent="0.2">
      <c r="A21" s="317"/>
      <c r="B21" s="317"/>
      <c r="C21" s="317"/>
      <c r="D21" s="317"/>
      <c r="E21" s="317"/>
      <c r="F21" s="318"/>
      <c r="G21" s="317"/>
      <c r="H21" s="318"/>
      <c r="I21" s="317"/>
      <c r="J21" s="318"/>
    </row>
    <row r="22" spans="1:10" ht="15" customHeight="1" thickBot="1" x14ac:dyDescent="0.25">
      <c r="A22" s="317"/>
      <c r="B22" s="317"/>
      <c r="C22" s="317"/>
      <c r="D22" s="317"/>
      <c r="E22" s="317" t="s">
        <v>123</v>
      </c>
      <c r="F22" s="318">
        <v>550.88</v>
      </c>
      <c r="G22" s="317"/>
      <c r="H22" s="366" t="s">
        <v>124</v>
      </c>
      <c r="I22" s="366"/>
      <c r="J22" s="318">
        <v>2875.3</v>
      </c>
    </row>
    <row r="23" spans="1:10" ht="15" thickTop="1" x14ac:dyDescent="0.2">
      <c r="A23" s="299"/>
      <c r="B23" s="299"/>
      <c r="C23" s="299"/>
      <c r="D23" s="299"/>
      <c r="E23" s="299"/>
      <c r="F23" s="299"/>
      <c r="G23" s="299"/>
      <c r="H23" s="299"/>
      <c r="I23" s="299"/>
      <c r="J23" s="299"/>
    </row>
    <row r="24" spans="1:10" ht="15" x14ac:dyDescent="0.2">
      <c r="A24" s="291" t="s">
        <v>28</v>
      </c>
      <c r="B24" s="293" t="s">
        <v>6</v>
      </c>
      <c r="C24" s="291" t="s">
        <v>7</v>
      </c>
      <c r="D24" s="291" t="s">
        <v>8</v>
      </c>
      <c r="E24" s="367" t="s">
        <v>114</v>
      </c>
      <c r="F24" s="367"/>
      <c r="G24" s="292" t="s">
        <v>9</v>
      </c>
      <c r="H24" s="293" t="s">
        <v>10</v>
      </c>
      <c r="I24" s="293" t="s">
        <v>11</v>
      </c>
      <c r="J24" s="293" t="s">
        <v>12</v>
      </c>
    </row>
    <row r="25" spans="1:10" x14ac:dyDescent="0.2">
      <c r="A25" s="294" t="s">
        <v>115</v>
      </c>
      <c r="B25" s="296" t="s">
        <v>15</v>
      </c>
      <c r="C25" s="294" t="s">
        <v>16</v>
      </c>
      <c r="D25" s="294" t="s">
        <v>90</v>
      </c>
      <c r="E25" s="373" t="s">
        <v>116</v>
      </c>
      <c r="F25" s="373"/>
      <c r="G25" s="295" t="s">
        <v>17</v>
      </c>
      <c r="H25" s="298">
        <v>1</v>
      </c>
      <c r="I25" s="297">
        <v>0.57999999999999996</v>
      </c>
      <c r="J25" s="297">
        <v>0.57999999999999996</v>
      </c>
    </row>
    <row r="26" spans="1:10" ht="25.5" x14ac:dyDescent="0.2">
      <c r="A26" s="300" t="s">
        <v>117</v>
      </c>
      <c r="B26" s="302" t="s">
        <v>118</v>
      </c>
      <c r="C26" s="300" t="s">
        <v>119</v>
      </c>
      <c r="D26" s="300" t="s">
        <v>120</v>
      </c>
      <c r="E26" s="368" t="s">
        <v>121</v>
      </c>
      <c r="F26" s="368"/>
      <c r="G26" s="301" t="s">
        <v>122</v>
      </c>
      <c r="H26" s="305">
        <v>1</v>
      </c>
      <c r="I26" s="303">
        <v>0.57999999999999996</v>
      </c>
      <c r="J26" s="303">
        <v>0.57999999999999996</v>
      </c>
    </row>
    <row r="27" spans="1:10" x14ac:dyDescent="0.2">
      <c r="A27" s="317"/>
      <c r="B27" s="317"/>
      <c r="C27" s="317"/>
      <c r="D27" s="317"/>
      <c r="E27" s="317"/>
      <c r="F27" s="318"/>
      <c r="G27" s="317"/>
      <c r="H27" s="318"/>
      <c r="I27" s="317"/>
      <c r="J27" s="318"/>
    </row>
    <row r="28" spans="1:10" ht="15" customHeight="1" thickBot="1" x14ac:dyDescent="0.25">
      <c r="A28" s="317"/>
      <c r="B28" s="317"/>
      <c r="C28" s="317"/>
      <c r="D28" s="317"/>
      <c r="E28" s="317" t="s">
        <v>123</v>
      </c>
      <c r="F28" s="318">
        <v>0.13</v>
      </c>
      <c r="G28" s="317"/>
      <c r="H28" s="366" t="s">
        <v>124</v>
      </c>
      <c r="I28" s="366"/>
      <c r="J28" s="318">
        <v>0.71</v>
      </c>
    </row>
    <row r="29" spans="1:10" ht="15" thickTop="1" x14ac:dyDescent="0.2">
      <c r="A29" s="299"/>
      <c r="B29" s="299"/>
      <c r="C29" s="299"/>
      <c r="D29" s="299"/>
      <c r="E29" s="299"/>
      <c r="F29" s="299"/>
      <c r="G29" s="299"/>
      <c r="H29" s="299"/>
      <c r="I29" s="299"/>
      <c r="J29" s="299"/>
    </row>
    <row r="30" spans="1:10" ht="15" x14ac:dyDescent="0.2">
      <c r="A30" s="291" t="s">
        <v>32</v>
      </c>
      <c r="B30" s="293" t="s">
        <v>6</v>
      </c>
      <c r="C30" s="291" t="s">
        <v>7</v>
      </c>
      <c r="D30" s="291" t="s">
        <v>8</v>
      </c>
      <c r="E30" s="367" t="s">
        <v>114</v>
      </c>
      <c r="F30" s="367"/>
      <c r="G30" s="292" t="s">
        <v>9</v>
      </c>
      <c r="H30" s="293" t="s">
        <v>10</v>
      </c>
      <c r="I30" s="293" t="s">
        <v>11</v>
      </c>
      <c r="J30" s="293" t="s">
        <v>12</v>
      </c>
    </row>
    <row r="31" spans="1:10" x14ac:dyDescent="0.2">
      <c r="A31" s="294" t="s">
        <v>115</v>
      </c>
      <c r="B31" s="296" t="s">
        <v>704</v>
      </c>
      <c r="C31" s="294" t="s">
        <v>38</v>
      </c>
      <c r="D31" s="294" t="s">
        <v>705</v>
      </c>
      <c r="E31" s="373" t="s">
        <v>135</v>
      </c>
      <c r="F31" s="373"/>
      <c r="G31" s="295" t="s">
        <v>21</v>
      </c>
      <c r="H31" s="298">
        <v>1</v>
      </c>
      <c r="I31" s="297">
        <v>422.89</v>
      </c>
      <c r="J31" s="297">
        <v>422.89</v>
      </c>
    </row>
    <row r="32" spans="1:10" ht="38.25" x14ac:dyDescent="0.2">
      <c r="A32" s="300" t="s">
        <v>117</v>
      </c>
      <c r="B32" s="302" t="s">
        <v>706</v>
      </c>
      <c r="C32" s="300" t="s">
        <v>38</v>
      </c>
      <c r="D32" s="300" t="s">
        <v>707</v>
      </c>
      <c r="E32" s="368" t="s">
        <v>708</v>
      </c>
      <c r="F32" s="368"/>
      <c r="G32" s="301" t="s">
        <v>49</v>
      </c>
      <c r="H32" s="305">
        <v>0.01</v>
      </c>
      <c r="I32" s="303">
        <v>426.94</v>
      </c>
      <c r="J32" s="303">
        <v>4.26</v>
      </c>
    </row>
    <row r="33" spans="1:13" ht="25.5" x14ac:dyDescent="0.2">
      <c r="A33" s="300" t="s">
        <v>117</v>
      </c>
      <c r="B33" s="302" t="s">
        <v>128</v>
      </c>
      <c r="C33" s="300" t="s">
        <v>38</v>
      </c>
      <c r="D33" s="300" t="s">
        <v>129</v>
      </c>
      <c r="E33" s="368" t="s">
        <v>116</v>
      </c>
      <c r="F33" s="368"/>
      <c r="G33" s="301" t="s">
        <v>127</v>
      </c>
      <c r="H33" s="305">
        <v>1</v>
      </c>
      <c r="I33" s="303">
        <v>28.32</v>
      </c>
      <c r="J33" s="303">
        <v>28.32</v>
      </c>
    </row>
    <row r="34" spans="1:13" ht="25.5" x14ac:dyDescent="0.2">
      <c r="A34" s="300" t="s">
        <v>117</v>
      </c>
      <c r="B34" s="302" t="s">
        <v>125</v>
      </c>
      <c r="C34" s="300" t="s">
        <v>38</v>
      </c>
      <c r="D34" s="300" t="s">
        <v>126</v>
      </c>
      <c r="E34" s="368" t="s">
        <v>116</v>
      </c>
      <c r="F34" s="368"/>
      <c r="G34" s="301" t="s">
        <v>127</v>
      </c>
      <c r="H34" s="305">
        <v>2</v>
      </c>
      <c r="I34" s="303">
        <v>19.920000000000002</v>
      </c>
      <c r="J34" s="303">
        <v>39.840000000000003</v>
      </c>
    </row>
    <row r="35" spans="1:13" ht="25.5" x14ac:dyDescent="0.2">
      <c r="A35" s="306" t="s">
        <v>130</v>
      </c>
      <c r="B35" s="308" t="s">
        <v>131</v>
      </c>
      <c r="C35" s="306" t="s">
        <v>38</v>
      </c>
      <c r="D35" s="306" t="s">
        <v>132</v>
      </c>
      <c r="E35" s="365" t="s">
        <v>61</v>
      </c>
      <c r="F35" s="365"/>
      <c r="G35" s="307" t="s">
        <v>21</v>
      </c>
      <c r="H35" s="311">
        <v>1</v>
      </c>
      <c r="I35" s="309">
        <v>302.5</v>
      </c>
      <c r="J35" s="309">
        <v>302.5</v>
      </c>
    </row>
    <row r="36" spans="1:13" ht="25.5" x14ac:dyDescent="0.2">
      <c r="A36" s="306" t="s">
        <v>130</v>
      </c>
      <c r="B36" s="308" t="s">
        <v>709</v>
      </c>
      <c r="C36" s="306" t="s">
        <v>38</v>
      </c>
      <c r="D36" s="306" t="s">
        <v>710</v>
      </c>
      <c r="E36" s="365" t="s">
        <v>61</v>
      </c>
      <c r="F36" s="365"/>
      <c r="G36" s="307" t="s">
        <v>188</v>
      </c>
      <c r="H36" s="311">
        <v>4</v>
      </c>
      <c r="I36" s="309">
        <v>9.5500000000000007</v>
      </c>
      <c r="J36" s="309">
        <v>38.200000000000003</v>
      </c>
    </row>
    <row r="37" spans="1:13" x14ac:dyDescent="0.2">
      <c r="A37" s="306" t="s">
        <v>130</v>
      </c>
      <c r="B37" s="308" t="s">
        <v>133</v>
      </c>
      <c r="C37" s="306" t="s">
        <v>38</v>
      </c>
      <c r="D37" s="306" t="s">
        <v>134</v>
      </c>
      <c r="E37" s="365" t="s">
        <v>61</v>
      </c>
      <c r="F37" s="365"/>
      <c r="G37" s="307" t="s">
        <v>41</v>
      </c>
      <c r="H37" s="311">
        <v>0.11</v>
      </c>
      <c r="I37" s="309">
        <v>20.85</v>
      </c>
      <c r="J37" s="309">
        <v>2.29</v>
      </c>
    </row>
    <row r="38" spans="1:13" ht="25.5" x14ac:dyDescent="0.2">
      <c r="A38" s="306" t="s">
        <v>130</v>
      </c>
      <c r="B38" s="308" t="s">
        <v>711</v>
      </c>
      <c r="C38" s="306" t="s">
        <v>38</v>
      </c>
      <c r="D38" s="306" t="s">
        <v>712</v>
      </c>
      <c r="E38" s="365" t="s">
        <v>61</v>
      </c>
      <c r="F38" s="365"/>
      <c r="G38" s="307" t="s">
        <v>188</v>
      </c>
      <c r="H38" s="311">
        <v>1</v>
      </c>
      <c r="I38" s="309">
        <v>7.48</v>
      </c>
      <c r="J38" s="309">
        <v>7.48</v>
      </c>
    </row>
    <row r="39" spans="1:13" x14ac:dyDescent="0.2">
      <c r="A39" s="317"/>
      <c r="B39" s="317"/>
      <c r="C39" s="317"/>
      <c r="D39" s="317"/>
      <c r="E39" s="317"/>
      <c r="F39" s="318"/>
      <c r="G39" s="317"/>
      <c r="H39" s="318"/>
      <c r="I39" s="317"/>
      <c r="J39" s="318"/>
    </row>
    <row r="40" spans="1:13" ht="15" customHeight="1" thickBot="1" x14ac:dyDescent="0.25">
      <c r="A40" s="317"/>
      <c r="B40" s="317"/>
      <c r="C40" s="317"/>
      <c r="D40" s="317"/>
      <c r="E40" s="317" t="s">
        <v>123</v>
      </c>
      <c r="F40" s="318">
        <v>100.22</v>
      </c>
      <c r="G40" s="317"/>
      <c r="H40" s="366" t="s">
        <v>124</v>
      </c>
      <c r="I40" s="366"/>
      <c r="J40" s="318">
        <v>523.11</v>
      </c>
    </row>
    <row r="41" spans="1:13" ht="15" thickTop="1" x14ac:dyDescent="0.2">
      <c r="A41" s="299"/>
      <c r="B41" s="299"/>
      <c r="C41" s="299"/>
      <c r="D41" s="299"/>
      <c r="E41" s="299"/>
      <c r="F41" s="299"/>
      <c r="G41" s="299"/>
      <c r="H41" s="299"/>
      <c r="I41" s="299"/>
      <c r="J41" s="299"/>
    </row>
    <row r="42" spans="1:13" ht="15" x14ac:dyDescent="0.2">
      <c r="A42" s="291" t="s">
        <v>662</v>
      </c>
      <c r="B42" s="293" t="s">
        <v>6</v>
      </c>
      <c r="C42" s="291" t="s">
        <v>7</v>
      </c>
      <c r="D42" s="291" t="s">
        <v>8</v>
      </c>
      <c r="E42" s="367" t="s">
        <v>114</v>
      </c>
      <c r="F42" s="367"/>
      <c r="G42" s="292" t="s">
        <v>9</v>
      </c>
      <c r="H42" s="293" t="s">
        <v>10</v>
      </c>
      <c r="I42" s="293" t="s">
        <v>11</v>
      </c>
      <c r="J42" s="293" t="s">
        <v>12</v>
      </c>
    </row>
    <row r="43" spans="1:13" ht="38.25" x14ac:dyDescent="0.2">
      <c r="A43" s="294" t="s">
        <v>115</v>
      </c>
      <c r="B43" s="296" t="s">
        <v>22</v>
      </c>
      <c r="C43" s="294" t="s">
        <v>16</v>
      </c>
      <c r="D43" s="294" t="s">
        <v>91</v>
      </c>
      <c r="E43" s="373" t="s">
        <v>135</v>
      </c>
      <c r="F43" s="373"/>
      <c r="G43" s="295" t="s">
        <v>23</v>
      </c>
      <c r="H43" s="298">
        <v>1</v>
      </c>
      <c r="I43" s="297">
        <v>3477.7</v>
      </c>
      <c r="J43" s="297">
        <v>3477.7</v>
      </c>
    </row>
    <row r="44" spans="1:13" ht="25.5" x14ac:dyDescent="0.2">
      <c r="A44" s="300" t="s">
        <v>117</v>
      </c>
      <c r="B44" s="302" t="s">
        <v>136</v>
      </c>
      <c r="C44" s="300" t="s">
        <v>38</v>
      </c>
      <c r="D44" s="300" t="s">
        <v>137</v>
      </c>
      <c r="E44" s="368" t="s">
        <v>116</v>
      </c>
      <c r="F44" s="368"/>
      <c r="G44" s="301" t="s">
        <v>127</v>
      </c>
      <c r="H44" s="305">
        <v>10</v>
      </c>
      <c r="I44" s="303">
        <v>108.08</v>
      </c>
      <c r="J44" s="303">
        <v>1080.8</v>
      </c>
      <c r="M44" s="172"/>
    </row>
    <row r="45" spans="1:13" ht="25.5" x14ac:dyDescent="0.2">
      <c r="A45" s="300" t="s">
        <v>117</v>
      </c>
      <c r="B45" s="302" t="s">
        <v>138</v>
      </c>
      <c r="C45" s="300" t="s">
        <v>38</v>
      </c>
      <c r="D45" s="300" t="s">
        <v>139</v>
      </c>
      <c r="E45" s="368" t="s">
        <v>116</v>
      </c>
      <c r="F45" s="368"/>
      <c r="G45" s="301" t="s">
        <v>127</v>
      </c>
      <c r="H45" s="305">
        <v>20</v>
      </c>
      <c r="I45" s="303">
        <v>46.74</v>
      </c>
      <c r="J45" s="303">
        <v>934.8</v>
      </c>
    </row>
    <row r="46" spans="1:13" ht="25.5" x14ac:dyDescent="0.2">
      <c r="A46" s="300" t="s">
        <v>117</v>
      </c>
      <c r="B46" s="302" t="s">
        <v>140</v>
      </c>
      <c r="C46" s="300" t="s">
        <v>38</v>
      </c>
      <c r="D46" s="300" t="s">
        <v>141</v>
      </c>
      <c r="E46" s="368" t="s">
        <v>116</v>
      </c>
      <c r="F46" s="368"/>
      <c r="G46" s="301" t="s">
        <v>127</v>
      </c>
      <c r="H46" s="305">
        <v>20</v>
      </c>
      <c r="I46" s="303">
        <v>19.78</v>
      </c>
      <c r="J46" s="303">
        <v>395.6</v>
      </c>
    </row>
    <row r="47" spans="1:13" ht="25.5" x14ac:dyDescent="0.2">
      <c r="A47" s="300" t="s">
        <v>117</v>
      </c>
      <c r="B47" s="302" t="s">
        <v>142</v>
      </c>
      <c r="C47" s="300" t="s">
        <v>38</v>
      </c>
      <c r="D47" s="300" t="s">
        <v>143</v>
      </c>
      <c r="E47" s="368" t="s">
        <v>116</v>
      </c>
      <c r="F47" s="368"/>
      <c r="G47" s="301" t="s">
        <v>127</v>
      </c>
      <c r="H47" s="305">
        <v>10</v>
      </c>
      <c r="I47" s="303">
        <v>39.82</v>
      </c>
      <c r="J47" s="303">
        <v>398.2</v>
      </c>
    </row>
    <row r="48" spans="1:13" ht="25.5" x14ac:dyDescent="0.2">
      <c r="A48" s="300" t="s">
        <v>117</v>
      </c>
      <c r="B48" s="302" t="s">
        <v>144</v>
      </c>
      <c r="C48" s="300" t="s">
        <v>38</v>
      </c>
      <c r="D48" s="300" t="s">
        <v>145</v>
      </c>
      <c r="E48" s="368" t="s">
        <v>116</v>
      </c>
      <c r="F48" s="368"/>
      <c r="G48" s="301" t="s">
        <v>127</v>
      </c>
      <c r="H48" s="305">
        <v>10</v>
      </c>
      <c r="I48" s="303">
        <v>28.11</v>
      </c>
      <c r="J48" s="303">
        <v>281.10000000000002</v>
      </c>
    </row>
    <row r="49" spans="1:10" x14ac:dyDescent="0.2">
      <c r="A49" s="306" t="s">
        <v>130</v>
      </c>
      <c r="B49" s="308" t="s">
        <v>146</v>
      </c>
      <c r="C49" s="306" t="s">
        <v>19</v>
      </c>
      <c r="D49" s="306" t="s">
        <v>147</v>
      </c>
      <c r="E49" s="365" t="s">
        <v>148</v>
      </c>
      <c r="F49" s="365"/>
      <c r="G49" s="307" t="s">
        <v>149</v>
      </c>
      <c r="H49" s="311">
        <v>88</v>
      </c>
      <c r="I49" s="309">
        <v>4.4000000000000004</v>
      </c>
      <c r="J49" s="309">
        <v>387.2</v>
      </c>
    </row>
    <row r="50" spans="1:10" x14ac:dyDescent="0.2">
      <c r="A50" s="317"/>
      <c r="B50" s="317"/>
      <c r="C50" s="317"/>
      <c r="D50" s="317"/>
      <c r="E50" s="317"/>
      <c r="F50" s="318"/>
      <c r="G50" s="317"/>
      <c r="H50" s="318"/>
      <c r="I50" s="317"/>
      <c r="J50" s="318"/>
    </row>
    <row r="51" spans="1:10" s="342" customFormat="1" x14ac:dyDescent="0.2">
      <c r="A51" s="343"/>
      <c r="B51" s="343"/>
      <c r="C51" s="343"/>
      <c r="D51" s="343" t="s">
        <v>1026</v>
      </c>
      <c r="E51" s="343" t="s">
        <v>123</v>
      </c>
      <c r="F51" s="318">
        <f>TRUNC(J43*23.7%,2)</f>
        <v>824.21</v>
      </c>
      <c r="G51" s="343"/>
      <c r="H51" s="366" t="s">
        <v>124</v>
      </c>
      <c r="I51" s="366"/>
      <c r="J51" s="318">
        <f>F51+J43</f>
        <v>4301.91</v>
      </c>
    </row>
    <row r="52" spans="1:10" s="342" customFormat="1" ht="15" customHeight="1" thickBot="1" x14ac:dyDescent="0.25">
      <c r="A52" s="343"/>
      <c r="B52" s="343"/>
      <c r="C52" s="343"/>
      <c r="D52" s="343" t="s">
        <v>1027</v>
      </c>
      <c r="E52" s="470" t="s">
        <v>1028</v>
      </c>
      <c r="F52" s="470"/>
      <c r="G52" s="471">
        <v>30</v>
      </c>
      <c r="H52" s="472" t="s">
        <v>1029</v>
      </c>
      <c r="I52" s="472"/>
      <c r="J52" s="473">
        <f>TRUNC(J51*G52,2)</f>
        <v>129057.3</v>
      </c>
    </row>
    <row r="53" spans="1:10" ht="15" thickTop="1" x14ac:dyDescent="0.2">
      <c r="A53" s="299"/>
      <c r="B53" s="299"/>
      <c r="C53" s="299"/>
      <c r="D53" s="299"/>
      <c r="E53" s="299"/>
      <c r="F53" s="299"/>
      <c r="G53" s="299"/>
      <c r="H53" s="299"/>
      <c r="I53" s="299"/>
      <c r="J53" s="299"/>
    </row>
    <row r="54" spans="1:10" ht="15" x14ac:dyDescent="0.2">
      <c r="A54" s="291" t="s">
        <v>663</v>
      </c>
      <c r="B54" s="293" t="s">
        <v>6</v>
      </c>
      <c r="C54" s="291" t="s">
        <v>7</v>
      </c>
      <c r="D54" s="291" t="s">
        <v>8</v>
      </c>
      <c r="E54" s="367" t="s">
        <v>114</v>
      </c>
      <c r="F54" s="367"/>
      <c r="G54" s="292" t="s">
        <v>9</v>
      </c>
      <c r="H54" s="293" t="s">
        <v>10</v>
      </c>
      <c r="I54" s="293" t="s">
        <v>11</v>
      </c>
      <c r="J54" s="293" t="s">
        <v>12</v>
      </c>
    </row>
    <row r="55" spans="1:10" ht="25.5" x14ac:dyDescent="0.2">
      <c r="A55" s="294" t="s">
        <v>115</v>
      </c>
      <c r="B55" s="296" t="s">
        <v>24</v>
      </c>
      <c r="C55" s="294" t="s">
        <v>16</v>
      </c>
      <c r="D55" s="294" t="s">
        <v>25</v>
      </c>
      <c r="E55" s="373" t="s">
        <v>135</v>
      </c>
      <c r="F55" s="373"/>
      <c r="G55" s="295" t="s">
        <v>26</v>
      </c>
      <c r="H55" s="298">
        <v>1</v>
      </c>
      <c r="I55" s="297">
        <v>3972.62</v>
      </c>
      <c r="J55" s="297">
        <v>3972.62</v>
      </c>
    </row>
    <row r="56" spans="1:10" ht="38.25" x14ac:dyDescent="0.2">
      <c r="A56" s="306" t="s">
        <v>130</v>
      </c>
      <c r="B56" s="308" t="s">
        <v>150</v>
      </c>
      <c r="C56" s="306" t="s">
        <v>38</v>
      </c>
      <c r="D56" s="306" t="s">
        <v>151</v>
      </c>
      <c r="E56" s="365" t="s">
        <v>148</v>
      </c>
      <c r="F56" s="365"/>
      <c r="G56" s="307" t="s">
        <v>152</v>
      </c>
      <c r="H56" s="311">
        <v>1</v>
      </c>
      <c r="I56" s="309">
        <v>1042</v>
      </c>
      <c r="J56" s="309">
        <v>1042</v>
      </c>
    </row>
    <row r="57" spans="1:10" ht="38.25" x14ac:dyDescent="0.2">
      <c r="A57" s="306" t="s">
        <v>130</v>
      </c>
      <c r="B57" s="308" t="s">
        <v>153</v>
      </c>
      <c r="C57" s="306" t="s">
        <v>38</v>
      </c>
      <c r="D57" s="306" t="s">
        <v>154</v>
      </c>
      <c r="E57" s="365" t="s">
        <v>148</v>
      </c>
      <c r="F57" s="365"/>
      <c r="G57" s="307" t="s">
        <v>152</v>
      </c>
      <c r="H57" s="311">
        <v>2</v>
      </c>
      <c r="I57" s="309">
        <v>814.06</v>
      </c>
      <c r="J57" s="309">
        <v>1628.12</v>
      </c>
    </row>
    <row r="58" spans="1:10" ht="38.25" x14ac:dyDescent="0.2">
      <c r="A58" s="306" t="s">
        <v>130</v>
      </c>
      <c r="B58" s="308" t="s">
        <v>155</v>
      </c>
      <c r="C58" s="306" t="s">
        <v>38</v>
      </c>
      <c r="D58" s="306" t="s">
        <v>156</v>
      </c>
      <c r="E58" s="365" t="s">
        <v>148</v>
      </c>
      <c r="F58" s="365"/>
      <c r="G58" s="307" t="s">
        <v>152</v>
      </c>
      <c r="H58" s="311">
        <v>1</v>
      </c>
      <c r="I58" s="309">
        <v>1302.5</v>
      </c>
      <c r="J58" s="309">
        <v>1302.5</v>
      </c>
    </row>
    <row r="59" spans="1:10" x14ac:dyDescent="0.2">
      <c r="A59" s="317"/>
      <c r="B59" s="317"/>
      <c r="C59" s="317"/>
      <c r="D59" s="317"/>
      <c r="E59" s="317"/>
      <c r="F59" s="318"/>
      <c r="G59" s="317"/>
      <c r="H59" s="318"/>
      <c r="I59" s="317"/>
      <c r="J59" s="318"/>
    </row>
    <row r="60" spans="1:10" ht="15" customHeight="1" thickBot="1" x14ac:dyDescent="0.25">
      <c r="A60" s="317"/>
      <c r="B60" s="317"/>
      <c r="C60" s="317"/>
      <c r="D60" s="317"/>
      <c r="E60" s="317" t="s">
        <v>123</v>
      </c>
      <c r="F60" s="318">
        <v>941.51</v>
      </c>
      <c r="G60" s="317"/>
      <c r="H60" s="366" t="s">
        <v>124</v>
      </c>
      <c r="I60" s="366"/>
      <c r="J60" s="318">
        <v>4914.13</v>
      </c>
    </row>
    <row r="61" spans="1:10" ht="15" thickTop="1" x14ac:dyDescent="0.2">
      <c r="A61" s="299"/>
      <c r="B61" s="299"/>
      <c r="C61" s="299"/>
      <c r="D61" s="299"/>
      <c r="E61" s="299"/>
      <c r="F61" s="299"/>
      <c r="G61" s="299"/>
      <c r="H61" s="299"/>
      <c r="I61" s="299"/>
      <c r="J61" s="299"/>
    </row>
    <row r="62" spans="1:10" ht="15" x14ac:dyDescent="0.2">
      <c r="A62" s="291" t="s">
        <v>37</v>
      </c>
      <c r="B62" s="293" t="s">
        <v>6</v>
      </c>
      <c r="C62" s="291" t="s">
        <v>7</v>
      </c>
      <c r="D62" s="291" t="s">
        <v>8</v>
      </c>
      <c r="E62" s="367" t="s">
        <v>114</v>
      </c>
      <c r="F62" s="367"/>
      <c r="G62" s="292" t="s">
        <v>9</v>
      </c>
      <c r="H62" s="293" t="s">
        <v>10</v>
      </c>
      <c r="I62" s="293" t="s">
        <v>11</v>
      </c>
      <c r="J62" s="293" t="s">
        <v>12</v>
      </c>
    </row>
    <row r="63" spans="1:10" x14ac:dyDescent="0.2">
      <c r="A63" s="294" t="s">
        <v>115</v>
      </c>
      <c r="B63" s="296" t="s">
        <v>698</v>
      </c>
      <c r="C63" s="294" t="s">
        <v>16</v>
      </c>
      <c r="D63" s="294" t="s">
        <v>670</v>
      </c>
      <c r="E63" s="373" t="s">
        <v>713</v>
      </c>
      <c r="F63" s="373"/>
      <c r="G63" s="295" t="s">
        <v>98</v>
      </c>
      <c r="H63" s="298">
        <v>1</v>
      </c>
      <c r="I63" s="297">
        <v>4590</v>
      </c>
      <c r="J63" s="297">
        <v>4590</v>
      </c>
    </row>
    <row r="64" spans="1:10" x14ac:dyDescent="0.2">
      <c r="A64" s="306" t="s">
        <v>130</v>
      </c>
      <c r="B64" s="308" t="s">
        <v>714</v>
      </c>
      <c r="C64" s="306" t="s">
        <v>16</v>
      </c>
      <c r="D64" s="306" t="s">
        <v>670</v>
      </c>
      <c r="E64" s="365" t="s">
        <v>61</v>
      </c>
      <c r="F64" s="365"/>
      <c r="G64" s="307" t="s">
        <v>668</v>
      </c>
      <c r="H64" s="311">
        <v>1000</v>
      </c>
      <c r="I64" s="309">
        <v>4.59</v>
      </c>
      <c r="J64" s="309">
        <v>4590</v>
      </c>
    </row>
    <row r="65" spans="1:10" x14ac:dyDescent="0.2">
      <c r="A65" s="317"/>
      <c r="B65" s="317"/>
      <c r="C65" s="317"/>
      <c r="D65" s="317"/>
      <c r="E65" s="317"/>
      <c r="F65" s="318"/>
      <c r="G65" s="317"/>
      <c r="H65" s="318"/>
      <c r="I65" s="317"/>
      <c r="J65" s="318"/>
    </row>
    <row r="66" spans="1:10" ht="15" customHeight="1" thickBot="1" x14ac:dyDescent="0.25">
      <c r="A66" s="317"/>
      <c r="B66" s="317"/>
      <c r="C66" s="317"/>
      <c r="D66" s="317"/>
      <c r="E66" s="317" t="s">
        <v>123</v>
      </c>
      <c r="F66" s="318">
        <v>688.5</v>
      </c>
      <c r="G66" s="317"/>
      <c r="H66" s="366" t="s">
        <v>124</v>
      </c>
      <c r="I66" s="366"/>
      <c r="J66" s="318">
        <v>5278.5</v>
      </c>
    </row>
    <row r="67" spans="1:10" ht="15" thickTop="1" x14ac:dyDescent="0.2">
      <c r="A67" s="299"/>
      <c r="B67" s="299"/>
      <c r="C67" s="299"/>
      <c r="D67" s="299"/>
      <c r="E67" s="299"/>
      <c r="F67" s="299"/>
      <c r="G67" s="299"/>
      <c r="H67" s="299"/>
      <c r="I67" s="299"/>
      <c r="J67" s="299"/>
    </row>
    <row r="68" spans="1:10" ht="15" x14ac:dyDescent="0.2">
      <c r="A68" s="291" t="s">
        <v>40</v>
      </c>
      <c r="B68" s="293" t="s">
        <v>6</v>
      </c>
      <c r="C68" s="291" t="s">
        <v>7</v>
      </c>
      <c r="D68" s="291" t="s">
        <v>8</v>
      </c>
      <c r="E68" s="367" t="s">
        <v>114</v>
      </c>
      <c r="F68" s="367"/>
      <c r="G68" s="292" t="s">
        <v>9</v>
      </c>
      <c r="H68" s="293" t="s">
        <v>10</v>
      </c>
      <c r="I68" s="293" t="s">
        <v>11</v>
      </c>
      <c r="J68" s="293" t="s">
        <v>12</v>
      </c>
    </row>
    <row r="69" spans="1:10" x14ac:dyDescent="0.2">
      <c r="A69" s="294" t="s">
        <v>115</v>
      </c>
      <c r="B69" s="296" t="s">
        <v>688</v>
      </c>
      <c r="C69" s="294" t="s">
        <v>16</v>
      </c>
      <c r="D69" s="294" t="s">
        <v>687</v>
      </c>
      <c r="E69" s="373" t="s">
        <v>713</v>
      </c>
      <c r="F69" s="373"/>
      <c r="G69" s="295" t="s">
        <v>98</v>
      </c>
      <c r="H69" s="298">
        <v>1</v>
      </c>
      <c r="I69" s="297">
        <v>5110</v>
      </c>
      <c r="J69" s="297">
        <v>5110</v>
      </c>
    </row>
    <row r="70" spans="1:10" x14ac:dyDescent="0.2">
      <c r="A70" s="306" t="s">
        <v>130</v>
      </c>
      <c r="B70" s="308" t="s">
        <v>715</v>
      </c>
      <c r="C70" s="306" t="s">
        <v>16</v>
      </c>
      <c r="D70" s="306" t="s">
        <v>716</v>
      </c>
      <c r="E70" s="365" t="s">
        <v>61</v>
      </c>
      <c r="F70" s="365"/>
      <c r="G70" s="307" t="s">
        <v>668</v>
      </c>
      <c r="H70" s="311">
        <v>1000</v>
      </c>
      <c r="I70" s="309">
        <v>5.1100000000000003</v>
      </c>
      <c r="J70" s="309">
        <v>5110</v>
      </c>
    </row>
    <row r="71" spans="1:10" x14ac:dyDescent="0.2">
      <c r="A71" s="317"/>
      <c r="B71" s="317"/>
      <c r="C71" s="317"/>
      <c r="D71" s="317"/>
      <c r="E71" s="317"/>
      <c r="F71" s="318"/>
      <c r="G71" s="317"/>
      <c r="H71" s="318"/>
      <c r="I71" s="317"/>
      <c r="J71" s="318"/>
    </row>
    <row r="72" spans="1:10" ht="15" customHeight="1" thickBot="1" x14ac:dyDescent="0.25">
      <c r="A72" s="317"/>
      <c r="B72" s="317"/>
      <c r="C72" s="317"/>
      <c r="D72" s="317"/>
      <c r="E72" s="317" t="s">
        <v>123</v>
      </c>
      <c r="F72" s="318">
        <v>766.5</v>
      </c>
      <c r="G72" s="317"/>
      <c r="H72" s="366" t="s">
        <v>124</v>
      </c>
      <c r="I72" s="366"/>
      <c r="J72" s="318">
        <v>5876.5</v>
      </c>
    </row>
    <row r="73" spans="1:10" ht="15" thickTop="1" x14ac:dyDescent="0.2">
      <c r="A73" s="299"/>
      <c r="B73" s="299"/>
      <c r="C73" s="299"/>
      <c r="D73" s="299"/>
      <c r="E73" s="299"/>
      <c r="F73" s="299"/>
      <c r="G73" s="299"/>
      <c r="H73" s="299"/>
      <c r="I73" s="299"/>
      <c r="J73" s="299"/>
    </row>
    <row r="74" spans="1:10" ht="15" x14ac:dyDescent="0.2">
      <c r="A74" s="291" t="s">
        <v>42</v>
      </c>
      <c r="B74" s="293" t="s">
        <v>6</v>
      </c>
      <c r="C74" s="291" t="s">
        <v>7</v>
      </c>
      <c r="D74" s="291" t="s">
        <v>8</v>
      </c>
      <c r="E74" s="367" t="s">
        <v>114</v>
      </c>
      <c r="F74" s="367"/>
      <c r="G74" s="292" t="s">
        <v>9</v>
      </c>
      <c r="H74" s="293" t="s">
        <v>10</v>
      </c>
      <c r="I74" s="293" t="s">
        <v>11</v>
      </c>
      <c r="J74" s="293" t="s">
        <v>12</v>
      </c>
    </row>
    <row r="75" spans="1:10" ht="38.25" x14ac:dyDescent="0.2">
      <c r="A75" s="294" t="s">
        <v>115</v>
      </c>
      <c r="B75" s="296" t="s">
        <v>43</v>
      </c>
      <c r="C75" s="294" t="s">
        <v>38</v>
      </c>
      <c r="D75" s="294" t="s">
        <v>108</v>
      </c>
      <c r="E75" s="373" t="s">
        <v>176</v>
      </c>
      <c r="F75" s="373"/>
      <c r="G75" s="295" t="s">
        <v>44</v>
      </c>
      <c r="H75" s="298">
        <v>1</v>
      </c>
      <c r="I75" s="297">
        <v>1.47</v>
      </c>
      <c r="J75" s="297">
        <v>1.47</v>
      </c>
    </row>
    <row r="76" spans="1:10" ht="51" x14ac:dyDescent="0.2">
      <c r="A76" s="300" t="s">
        <v>117</v>
      </c>
      <c r="B76" s="302" t="s">
        <v>181</v>
      </c>
      <c r="C76" s="300" t="s">
        <v>38</v>
      </c>
      <c r="D76" s="300" t="s">
        <v>182</v>
      </c>
      <c r="E76" s="368" t="s">
        <v>179</v>
      </c>
      <c r="F76" s="368"/>
      <c r="G76" s="301" t="s">
        <v>183</v>
      </c>
      <c r="H76" s="305">
        <v>2.8E-3</v>
      </c>
      <c r="I76" s="303">
        <v>490.77</v>
      </c>
      <c r="J76" s="303">
        <v>1.37</v>
      </c>
    </row>
    <row r="77" spans="1:10" ht="51" x14ac:dyDescent="0.2">
      <c r="A77" s="300" t="s">
        <v>117</v>
      </c>
      <c r="B77" s="302" t="s">
        <v>177</v>
      </c>
      <c r="C77" s="300" t="s">
        <v>38</v>
      </c>
      <c r="D77" s="300" t="s">
        <v>178</v>
      </c>
      <c r="E77" s="368" t="s">
        <v>179</v>
      </c>
      <c r="F77" s="368"/>
      <c r="G77" s="301" t="s">
        <v>180</v>
      </c>
      <c r="H77" s="305">
        <v>1.1999999999999999E-3</v>
      </c>
      <c r="I77" s="303">
        <v>85.4</v>
      </c>
      <c r="J77" s="303">
        <v>0.1</v>
      </c>
    </row>
    <row r="78" spans="1:10" x14ac:dyDescent="0.2">
      <c r="A78" s="317"/>
      <c r="B78" s="317"/>
      <c r="C78" s="317"/>
      <c r="D78" s="317"/>
      <c r="E78" s="317"/>
      <c r="F78" s="318"/>
      <c r="G78" s="317"/>
      <c r="H78" s="318"/>
      <c r="I78" s="317"/>
      <c r="J78" s="318"/>
    </row>
    <row r="79" spans="1:10" ht="15" customHeight="1" thickBot="1" x14ac:dyDescent="0.25">
      <c r="A79" s="317"/>
      <c r="B79" s="317"/>
      <c r="C79" s="317"/>
      <c r="D79" s="317"/>
      <c r="E79" s="317" t="s">
        <v>123</v>
      </c>
      <c r="F79" s="318">
        <v>0.22</v>
      </c>
      <c r="G79" s="317"/>
      <c r="H79" s="366" t="s">
        <v>124</v>
      </c>
      <c r="I79" s="366"/>
      <c r="J79" s="318">
        <v>1.69</v>
      </c>
    </row>
    <row r="80" spans="1:10" ht="15" thickTop="1" x14ac:dyDescent="0.2">
      <c r="A80" s="299"/>
      <c r="B80" s="299"/>
      <c r="C80" s="299"/>
      <c r="D80" s="299"/>
      <c r="E80" s="299"/>
      <c r="F80" s="299"/>
      <c r="G80" s="299"/>
      <c r="H80" s="299"/>
      <c r="I80" s="299"/>
      <c r="J80" s="299"/>
    </row>
    <row r="81" spans="1:10" ht="15" x14ac:dyDescent="0.2">
      <c r="A81" s="291" t="s">
        <v>717</v>
      </c>
      <c r="B81" s="293" t="s">
        <v>6</v>
      </c>
      <c r="C81" s="291" t="s">
        <v>7</v>
      </c>
      <c r="D81" s="291" t="s">
        <v>8</v>
      </c>
      <c r="E81" s="367" t="s">
        <v>114</v>
      </c>
      <c r="F81" s="367"/>
      <c r="G81" s="292" t="s">
        <v>9</v>
      </c>
      <c r="H81" s="293" t="s">
        <v>10</v>
      </c>
      <c r="I81" s="293" t="s">
        <v>11</v>
      </c>
      <c r="J81" s="293" t="s">
        <v>12</v>
      </c>
    </row>
    <row r="82" spans="1:10" ht="38.25" x14ac:dyDescent="0.2">
      <c r="A82" s="294" t="s">
        <v>115</v>
      </c>
      <c r="B82" s="296" t="s">
        <v>45</v>
      </c>
      <c r="C82" s="294" t="s">
        <v>38</v>
      </c>
      <c r="D82" s="294" t="s">
        <v>109</v>
      </c>
      <c r="E82" s="373" t="s">
        <v>176</v>
      </c>
      <c r="F82" s="373"/>
      <c r="G82" s="295" t="s">
        <v>44</v>
      </c>
      <c r="H82" s="298">
        <v>1</v>
      </c>
      <c r="I82" s="297">
        <v>0.56999999999999995</v>
      </c>
      <c r="J82" s="297">
        <v>0.56999999999999995</v>
      </c>
    </row>
    <row r="83" spans="1:10" ht="51" x14ac:dyDescent="0.2">
      <c r="A83" s="300" t="s">
        <v>117</v>
      </c>
      <c r="B83" s="302" t="s">
        <v>181</v>
      </c>
      <c r="C83" s="300" t="s">
        <v>38</v>
      </c>
      <c r="D83" s="300" t="s">
        <v>182</v>
      </c>
      <c r="E83" s="368" t="s">
        <v>179</v>
      </c>
      <c r="F83" s="368"/>
      <c r="G83" s="301" t="s">
        <v>183</v>
      </c>
      <c r="H83" s="305">
        <v>1.1000000000000001E-3</v>
      </c>
      <c r="I83" s="303">
        <v>490.77</v>
      </c>
      <c r="J83" s="303">
        <v>0.53</v>
      </c>
    </row>
    <row r="84" spans="1:10" ht="51" x14ac:dyDescent="0.2">
      <c r="A84" s="300" t="s">
        <v>117</v>
      </c>
      <c r="B84" s="302" t="s">
        <v>177</v>
      </c>
      <c r="C84" s="300" t="s">
        <v>38</v>
      </c>
      <c r="D84" s="300" t="s">
        <v>178</v>
      </c>
      <c r="E84" s="368" t="s">
        <v>179</v>
      </c>
      <c r="F84" s="368"/>
      <c r="G84" s="301" t="s">
        <v>180</v>
      </c>
      <c r="H84" s="305">
        <v>5.0000000000000001E-4</v>
      </c>
      <c r="I84" s="303">
        <v>85.4</v>
      </c>
      <c r="J84" s="303">
        <v>0.04</v>
      </c>
    </row>
    <row r="85" spans="1:10" x14ac:dyDescent="0.2">
      <c r="A85" s="317"/>
      <c r="B85" s="317"/>
      <c r="C85" s="317"/>
      <c r="D85" s="317"/>
      <c r="E85" s="317"/>
      <c r="F85" s="318"/>
      <c r="G85" s="317"/>
      <c r="H85" s="318"/>
      <c r="I85" s="317"/>
      <c r="J85" s="318"/>
    </row>
    <row r="86" spans="1:10" ht="15" customHeight="1" thickBot="1" x14ac:dyDescent="0.25">
      <c r="A86" s="317"/>
      <c r="B86" s="317"/>
      <c r="C86" s="317"/>
      <c r="D86" s="317"/>
      <c r="E86" s="317" t="s">
        <v>123</v>
      </c>
      <c r="F86" s="318">
        <v>0.08</v>
      </c>
      <c r="G86" s="317"/>
      <c r="H86" s="366" t="s">
        <v>124</v>
      </c>
      <c r="I86" s="366"/>
      <c r="J86" s="318">
        <v>0.65</v>
      </c>
    </row>
    <row r="87" spans="1:10" ht="15" thickTop="1" x14ac:dyDescent="0.2">
      <c r="A87" s="299"/>
      <c r="B87" s="299"/>
      <c r="C87" s="299"/>
      <c r="D87" s="299"/>
      <c r="E87" s="299"/>
      <c r="F87" s="299"/>
      <c r="G87" s="299"/>
      <c r="H87" s="299"/>
      <c r="I87" s="299"/>
      <c r="J87" s="299"/>
    </row>
    <row r="88" spans="1:10" ht="15" x14ac:dyDescent="0.2">
      <c r="A88" s="291" t="s">
        <v>47</v>
      </c>
      <c r="B88" s="293" t="s">
        <v>6</v>
      </c>
      <c r="C88" s="291" t="s">
        <v>7</v>
      </c>
      <c r="D88" s="291" t="s">
        <v>8</v>
      </c>
      <c r="E88" s="367" t="s">
        <v>114</v>
      </c>
      <c r="F88" s="367"/>
      <c r="G88" s="292" t="s">
        <v>9</v>
      </c>
      <c r="H88" s="293" t="s">
        <v>10</v>
      </c>
      <c r="I88" s="293" t="s">
        <v>11</v>
      </c>
      <c r="J88" s="293" t="s">
        <v>12</v>
      </c>
    </row>
    <row r="89" spans="1:10" x14ac:dyDescent="0.2">
      <c r="A89" s="294" t="s">
        <v>115</v>
      </c>
      <c r="B89" s="296" t="s">
        <v>718</v>
      </c>
      <c r="C89" s="294" t="s">
        <v>119</v>
      </c>
      <c r="D89" s="294" t="s">
        <v>719</v>
      </c>
      <c r="E89" s="373" t="s">
        <v>121</v>
      </c>
      <c r="F89" s="373"/>
      <c r="G89" s="295" t="s">
        <v>21</v>
      </c>
      <c r="H89" s="298">
        <v>1</v>
      </c>
      <c r="I89" s="297">
        <v>0.28999999999999998</v>
      </c>
      <c r="J89" s="297">
        <v>0.28999999999999998</v>
      </c>
    </row>
    <row r="90" spans="1:10" ht="15" x14ac:dyDescent="0.2">
      <c r="A90" s="367" t="s">
        <v>428</v>
      </c>
      <c r="B90" s="363" t="s">
        <v>6</v>
      </c>
      <c r="C90" s="367" t="s">
        <v>7</v>
      </c>
      <c r="D90" s="367" t="s">
        <v>429</v>
      </c>
      <c r="E90" s="363" t="s">
        <v>430</v>
      </c>
      <c r="F90" s="375" t="s">
        <v>431</v>
      </c>
      <c r="G90" s="363"/>
      <c r="H90" s="375" t="s">
        <v>432</v>
      </c>
      <c r="I90" s="363"/>
      <c r="J90" s="363" t="s">
        <v>433</v>
      </c>
    </row>
    <row r="91" spans="1:10" ht="15" x14ac:dyDescent="0.2">
      <c r="A91" s="363"/>
      <c r="B91" s="363"/>
      <c r="C91" s="363"/>
      <c r="D91" s="363"/>
      <c r="E91" s="363"/>
      <c r="F91" s="293" t="s">
        <v>434</v>
      </c>
      <c r="G91" s="293" t="s">
        <v>435</v>
      </c>
      <c r="H91" s="293" t="s">
        <v>434</v>
      </c>
      <c r="I91" s="293" t="s">
        <v>435</v>
      </c>
      <c r="J91" s="363"/>
    </row>
    <row r="92" spans="1:10" ht="25.5" x14ac:dyDescent="0.2">
      <c r="A92" s="306" t="s">
        <v>130</v>
      </c>
      <c r="B92" s="308" t="s">
        <v>720</v>
      </c>
      <c r="C92" s="306" t="s">
        <v>119</v>
      </c>
      <c r="D92" s="306" t="s">
        <v>721</v>
      </c>
      <c r="E92" s="311">
        <v>1</v>
      </c>
      <c r="F92" s="309">
        <v>1</v>
      </c>
      <c r="G92" s="309">
        <v>0</v>
      </c>
      <c r="H92" s="310">
        <v>275.37360000000001</v>
      </c>
      <c r="I92" s="310">
        <v>72.114199999999997</v>
      </c>
      <c r="J92" s="310">
        <v>275.37360000000001</v>
      </c>
    </row>
    <row r="93" spans="1:10" x14ac:dyDescent="0.2">
      <c r="A93" s="306" t="s">
        <v>130</v>
      </c>
      <c r="B93" s="308" t="s">
        <v>722</v>
      </c>
      <c r="C93" s="306" t="s">
        <v>119</v>
      </c>
      <c r="D93" s="306" t="s">
        <v>723</v>
      </c>
      <c r="E93" s="311">
        <v>2</v>
      </c>
      <c r="F93" s="309">
        <v>1</v>
      </c>
      <c r="G93" s="309">
        <v>0</v>
      </c>
      <c r="H93" s="310">
        <v>57.196100000000001</v>
      </c>
      <c r="I93" s="310">
        <v>39.069099999999999</v>
      </c>
      <c r="J93" s="310">
        <v>114.3922</v>
      </c>
    </row>
    <row r="94" spans="1:10" x14ac:dyDescent="0.2">
      <c r="A94" s="364"/>
      <c r="B94" s="364"/>
      <c r="C94" s="364"/>
      <c r="D94" s="364"/>
      <c r="E94" s="364"/>
      <c r="F94" s="364"/>
      <c r="G94" s="364" t="s">
        <v>438</v>
      </c>
      <c r="H94" s="364"/>
      <c r="I94" s="364"/>
      <c r="J94" s="314">
        <v>389.76580000000001</v>
      </c>
    </row>
    <row r="95" spans="1:10" ht="15" x14ac:dyDescent="0.2">
      <c r="A95" s="291" t="s">
        <v>724</v>
      </c>
      <c r="B95" s="293" t="s">
        <v>6</v>
      </c>
      <c r="C95" s="291" t="s">
        <v>7</v>
      </c>
      <c r="D95" s="291" t="s">
        <v>160</v>
      </c>
      <c r="E95" s="293" t="s">
        <v>430</v>
      </c>
      <c r="F95" s="363" t="s">
        <v>725</v>
      </c>
      <c r="G95" s="363"/>
      <c r="H95" s="363"/>
      <c r="I95" s="363"/>
      <c r="J95" s="293" t="s">
        <v>433</v>
      </c>
    </row>
    <row r="96" spans="1:10" x14ac:dyDescent="0.2">
      <c r="A96" s="306" t="s">
        <v>130</v>
      </c>
      <c r="B96" s="308" t="s">
        <v>726</v>
      </c>
      <c r="C96" s="306" t="s">
        <v>119</v>
      </c>
      <c r="D96" s="306" t="s">
        <v>727</v>
      </c>
      <c r="E96" s="311">
        <v>2</v>
      </c>
      <c r="F96" s="306"/>
      <c r="G96" s="306"/>
      <c r="H96" s="306"/>
      <c r="I96" s="310">
        <v>18.924900000000001</v>
      </c>
      <c r="J96" s="310">
        <v>37.849800000000002</v>
      </c>
    </row>
    <row r="97" spans="1:10" x14ac:dyDescent="0.2">
      <c r="A97" s="364"/>
      <c r="B97" s="364"/>
      <c r="C97" s="364"/>
      <c r="D97" s="364"/>
      <c r="E97" s="364"/>
      <c r="F97" s="364"/>
      <c r="G97" s="364" t="s">
        <v>728</v>
      </c>
      <c r="H97" s="364"/>
      <c r="I97" s="364"/>
      <c r="J97" s="314">
        <v>37.849800000000002</v>
      </c>
    </row>
    <row r="98" spans="1:10" x14ac:dyDescent="0.2">
      <c r="A98" s="364"/>
      <c r="B98" s="364"/>
      <c r="C98" s="364"/>
      <c r="D98" s="364"/>
      <c r="E98" s="364"/>
      <c r="F98" s="364"/>
      <c r="G98" s="364" t="s">
        <v>729</v>
      </c>
      <c r="H98" s="364"/>
      <c r="I98" s="364"/>
      <c r="J98" s="314">
        <v>0</v>
      </c>
    </row>
    <row r="99" spans="1:10" x14ac:dyDescent="0.2">
      <c r="A99" s="364"/>
      <c r="B99" s="364"/>
      <c r="C99" s="364"/>
      <c r="D99" s="364"/>
      <c r="E99" s="364"/>
      <c r="F99" s="364"/>
      <c r="G99" s="364" t="s">
        <v>439</v>
      </c>
      <c r="H99" s="364"/>
      <c r="I99" s="364"/>
      <c r="J99" s="314">
        <v>427.61559999999997</v>
      </c>
    </row>
    <row r="100" spans="1:10" x14ac:dyDescent="0.2">
      <c r="A100" s="364"/>
      <c r="B100" s="364"/>
      <c r="C100" s="364"/>
      <c r="D100" s="364"/>
      <c r="E100" s="364"/>
      <c r="F100" s="364"/>
      <c r="G100" s="364" t="s">
        <v>440</v>
      </c>
      <c r="H100" s="364"/>
      <c r="I100" s="364"/>
      <c r="J100" s="314">
        <v>2.3999999999999998E-3</v>
      </c>
    </row>
    <row r="101" spans="1:10" x14ac:dyDescent="0.2">
      <c r="A101" s="364"/>
      <c r="B101" s="364"/>
      <c r="C101" s="364"/>
      <c r="D101" s="364"/>
      <c r="E101" s="364"/>
      <c r="F101" s="364"/>
      <c r="G101" s="364" t="s">
        <v>441</v>
      </c>
      <c r="H101" s="364"/>
      <c r="I101" s="364"/>
      <c r="J101" s="314">
        <v>6.9999999999999999E-4</v>
      </c>
    </row>
    <row r="102" spans="1:10" x14ac:dyDescent="0.2">
      <c r="A102" s="364"/>
      <c r="B102" s="364"/>
      <c r="C102" s="364"/>
      <c r="D102" s="364"/>
      <c r="E102" s="364"/>
      <c r="F102" s="364"/>
      <c r="G102" s="364" t="s">
        <v>442</v>
      </c>
      <c r="H102" s="364"/>
      <c r="I102" s="364"/>
      <c r="J102" s="314">
        <v>1500</v>
      </c>
    </row>
    <row r="103" spans="1:10" x14ac:dyDescent="0.2">
      <c r="A103" s="364"/>
      <c r="B103" s="364"/>
      <c r="C103" s="364"/>
      <c r="D103" s="364"/>
      <c r="E103" s="364"/>
      <c r="F103" s="364"/>
      <c r="G103" s="364" t="s">
        <v>443</v>
      </c>
      <c r="H103" s="364"/>
      <c r="I103" s="364"/>
      <c r="J103" s="314">
        <v>0.28510000000000002</v>
      </c>
    </row>
    <row r="104" spans="1:10" x14ac:dyDescent="0.2">
      <c r="A104" s="317"/>
      <c r="B104" s="317"/>
      <c r="C104" s="317"/>
      <c r="D104" s="317"/>
      <c r="E104" s="317"/>
      <c r="F104" s="318"/>
      <c r="G104" s="317"/>
      <c r="H104" s="318"/>
      <c r="I104" s="317"/>
      <c r="J104" s="318"/>
    </row>
    <row r="105" spans="1:10" ht="15" customHeight="1" thickBot="1" x14ac:dyDescent="0.25">
      <c r="A105" s="317"/>
      <c r="B105" s="317"/>
      <c r="C105" s="317"/>
      <c r="D105" s="317"/>
      <c r="E105" s="317" t="s">
        <v>123</v>
      </c>
      <c r="F105" s="318">
        <v>0.06</v>
      </c>
      <c r="G105" s="317"/>
      <c r="H105" s="366" t="s">
        <v>124</v>
      </c>
      <c r="I105" s="366"/>
      <c r="J105" s="318">
        <v>0.35</v>
      </c>
    </row>
    <row r="106" spans="1:10" ht="15" thickTop="1" x14ac:dyDescent="0.2">
      <c r="A106" s="299"/>
      <c r="B106" s="299"/>
      <c r="C106" s="299"/>
      <c r="D106" s="299"/>
      <c r="E106" s="299"/>
      <c r="F106" s="299"/>
      <c r="G106" s="299"/>
      <c r="H106" s="299"/>
      <c r="I106" s="299"/>
      <c r="J106" s="299"/>
    </row>
    <row r="107" spans="1:10" ht="15" x14ac:dyDescent="0.2">
      <c r="A107" s="291" t="s">
        <v>48</v>
      </c>
      <c r="B107" s="293" t="s">
        <v>6</v>
      </c>
      <c r="C107" s="291" t="s">
        <v>7</v>
      </c>
      <c r="D107" s="291" t="s">
        <v>8</v>
      </c>
      <c r="E107" s="367" t="s">
        <v>114</v>
      </c>
      <c r="F107" s="367"/>
      <c r="G107" s="292" t="s">
        <v>9</v>
      </c>
      <c r="H107" s="293" t="s">
        <v>10</v>
      </c>
      <c r="I107" s="293" t="s">
        <v>11</v>
      </c>
      <c r="J107" s="293" t="s">
        <v>12</v>
      </c>
    </row>
    <row r="108" spans="1:10" x14ac:dyDescent="0.2">
      <c r="A108" s="294" t="s">
        <v>115</v>
      </c>
      <c r="B108" s="296" t="s">
        <v>730</v>
      </c>
      <c r="C108" s="294" t="s">
        <v>119</v>
      </c>
      <c r="D108" s="294" t="s">
        <v>731</v>
      </c>
      <c r="E108" s="373" t="s">
        <v>121</v>
      </c>
      <c r="F108" s="373"/>
      <c r="G108" s="295" t="s">
        <v>98</v>
      </c>
      <c r="H108" s="298">
        <v>1</v>
      </c>
      <c r="I108" s="297">
        <v>196.33</v>
      </c>
      <c r="J108" s="297">
        <v>196.33</v>
      </c>
    </row>
    <row r="109" spans="1:10" ht="15" x14ac:dyDescent="0.2">
      <c r="A109" s="367" t="s">
        <v>428</v>
      </c>
      <c r="B109" s="363" t="s">
        <v>6</v>
      </c>
      <c r="C109" s="367" t="s">
        <v>7</v>
      </c>
      <c r="D109" s="367" t="s">
        <v>429</v>
      </c>
      <c r="E109" s="363" t="s">
        <v>430</v>
      </c>
      <c r="F109" s="375" t="s">
        <v>431</v>
      </c>
      <c r="G109" s="363"/>
      <c r="H109" s="375" t="s">
        <v>432</v>
      </c>
      <c r="I109" s="363"/>
      <c r="J109" s="363" t="s">
        <v>433</v>
      </c>
    </row>
    <row r="110" spans="1:10" ht="15" x14ac:dyDescent="0.2">
      <c r="A110" s="363"/>
      <c r="B110" s="363"/>
      <c r="C110" s="363"/>
      <c r="D110" s="363"/>
      <c r="E110" s="363"/>
      <c r="F110" s="293" t="s">
        <v>434</v>
      </c>
      <c r="G110" s="293" t="s">
        <v>435</v>
      </c>
      <c r="H110" s="293" t="s">
        <v>434</v>
      </c>
      <c r="I110" s="293" t="s">
        <v>435</v>
      </c>
      <c r="J110" s="363"/>
    </row>
    <row r="111" spans="1:10" x14ac:dyDescent="0.2">
      <c r="A111" s="306" t="s">
        <v>130</v>
      </c>
      <c r="B111" s="308" t="s">
        <v>732</v>
      </c>
      <c r="C111" s="306" t="s">
        <v>119</v>
      </c>
      <c r="D111" s="306" t="s">
        <v>733</v>
      </c>
      <c r="E111" s="311">
        <v>1</v>
      </c>
      <c r="F111" s="309">
        <v>0.71</v>
      </c>
      <c r="G111" s="309">
        <v>0.28999999999999998</v>
      </c>
      <c r="H111" s="310">
        <v>232.90039999999999</v>
      </c>
      <c r="I111" s="310">
        <v>107.9222</v>
      </c>
      <c r="J111" s="310">
        <v>196.6567</v>
      </c>
    </row>
    <row r="112" spans="1:10" x14ac:dyDescent="0.2">
      <c r="A112" s="306" t="s">
        <v>130</v>
      </c>
      <c r="B112" s="308" t="s">
        <v>734</v>
      </c>
      <c r="C112" s="306" t="s">
        <v>119</v>
      </c>
      <c r="D112" s="306" t="s">
        <v>735</v>
      </c>
      <c r="E112" s="311">
        <v>1</v>
      </c>
      <c r="F112" s="309">
        <v>0.82</v>
      </c>
      <c r="G112" s="309">
        <v>0.18</v>
      </c>
      <c r="H112" s="310">
        <v>268.8338</v>
      </c>
      <c r="I112" s="310">
        <v>90.754400000000004</v>
      </c>
      <c r="J112" s="310">
        <v>236.77950000000001</v>
      </c>
    </row>
    <row r="113" spans="1:10" x14ac:dyDescent="0.2">
      <c r="A113" s="306" t="s">
        <v>130</v>
      </c>
      <c r="B113" s="308" t="s">
        <v>736</v>
      </c>
      <c r="C113" s="306" t="s">
        <v>119</v>
      </c>
      <c r="D113" s="306" t="s">
        <v>737</v>
      </c>
      <c r="E113" s="311">
        <v>1</v>
      </c>
      <c r="F113" s="309">
        <v>1</v>
      </c>
      <c r="G113" s="309">
        <v>0</v>
      </c>
      <c r="H113" s="310">
        <v>306.3141</v>
      </c>
      <c r="I113" s="310">
        <v>126.53019999999999</v>
      </c>
      <c r="J113" s="310">
        <v>306.3141</v>
      </c>
    </row>
    <row r="114" spans="1:10" x14ac:dyDescent="0.2">
      <c r="A114" s="364"/>
      <c r="B114" s="364"/>
      <c r="C114" s="364"/>
      <c r="D114" s="364"/>
      <c r="E114" s="364"/>
      <c r="F114" s="364"/>
      <c r="G114" s="364" t="s">
        <v>438</v>
      </c>
      <c r="H114" s="364"/>
      <c r="I114" s="364"/>
      <c r="J114" s="314">
        <v>739.75030000000004</v>
      </c>
    </row>
    <row r="115" spans="1:10" ht="15" x14ac:dyDescent="0.2">
      <c r="A115" s="291" t="s">
        <v>724</v>
      </c>
      <c r="B115" s="293" t="s">
        <v>6</v>
      </c>
      <c r="C115" s="291" t="s">
        <v>7</v>
      </c>
      <c r="D115" s="291" t="s">
        <v>160</v>
      </c>
      <c r="E115" s="293" t="s">
        <v>430</v>
      </c>
      <c r="F115" s="363" t="s">
        <v>725</v>
      </c>
      <c r="G115" s="363"/>
      <c r="H115" s="363"/>
      <c r="I115" s="363"/>
      <c r="J115" s="293" t="s">
        <v>433</v>
      </c>
    </row>
    <row r="116" spans="1:10" x14ac:dyDescent="0.2">
      <c r="A116" s="306" t="s">
        <v>130</v>
      </c>
      <c r="B116" s="308" t="s">
        <v>726</v>
      </c>
      <c r="C116" s="306" t="s">
        <v>119</v>
      </c>
      <c r="D116" s="306" t="s">
        <v>727</v>
      </c>
      <c r="E116" s="311">
        <v>8</v>
      </c>
      <c r="F116" s="306"/>
      <c r="G116" s="306"/>
      <c r="H116" s="306"/>
      <c r="I116" s="310">
        <v>18.924900000000001</v>
      </c>
      <c r="J116" s="310">
        <v>151.39920000000001</v>
      </c>
    </row>
    <row r="117" spans="1:10" x14ac:dyDescent="0.2">
      <c r="A117" s="364"/>
      <c r="B117" s="364"/>
      <c r="C117" s="364"/>
      <c r="D117" s="364"/>
      <c r="E117" s="364"/>
      <c r="F117" s="364"/>
      <c r="G117" s="364" t="s">
        <v>728</v>
      </c>
      <c r="H117" s="364"/>
      <c r="I117" s="364"/>
      <c r="J117" s="314">
        <v>151.39920000000001</v>
      </c>
    </row>
    <row r="118" spans="1:10" x14ac:dyDescent="0.2">
      <c r="A118" s="364"/>
      <c r="B118" s="364"/>
      <c r="C118" s="364"/>
      <c r="D118" s="364"/>
      <c r="E118" s="364"/>
      <c r="F118" s="364"/>
      <c r="G118" s="364" t="s">
        <v>729</v>
      </c>
      <c r="H118" s="364"/>
      <c r="I118" s="364"/>
      <c r="J118" s="314">
        <v>0</v>
      </c>
    </row>
    <row r="119" spans="1:10" x14ac:dyDescent="0.2">
      <c r="A119" s="364"/>
      <c r="B119" s="364"/>
      <c r="C119" s="364"/>
      <c r="D119" s="364"/>
      <c r="E119" s="364"/>
      <c r="F119" s="364"/>
      <c r="G119" s="364" t="s">
        <v>439</v>
      </c>
      <c r="H119" s="364"/>
      <c r="I119" s="364"/>
      <c r="J119" s="314">
        <v>891.14949999999999</v>
      </c>
    </row>
    <row r="120" spans="1:10" x14ac:dyDescent="0.2">
      <c r="A120" s="364"/>
      <c r="B120" s="364"/>
      <c r="C120" s="364"/>
      <c r="D120" s="364"/>
      <c r="E120" s="364"/>
      <c r="F120" s="364"/>
      <c r="G120" s="364" t="s">
        <v>440</v>
      </c>
      <c r="H120" s="364"/>
      <c r="I120" s="364"/>
      <c r="J120" s="314">
        <v>2.3999999999999998E-3</v>
      </c>
    </row>
    <row r="121" spans="1:10" x14ac:dyDescent="0.2">
      <c r="A121" s="364"/>
      <c r="B121" s="364"/>
      <c r="C121" s="364"/>
      <c r="D121" s="364"/>
      <c r="E121" s="364"/>
      <c r="F121" s="364"/>
      <c r="G121" s="364" t="s">
        <v>441</v>
      </c>
      <c r="H121" s="364"/>
      <c r="I121" s="364"/>
      <c r="J121" s="314">
        <v>2.12E-2</v>
      </c>
    </row>
    <row r="122" spans="1:10" x14ac:dyDescent="0.2">
      <c r="A122" s="364"/>
      <c r="B122" s="364"/>
      <c r="C122" s="364"/>
      <c r="D122" s="364"/>
      <c r="E122" s="364"/>
      <c r="F122" s="364"/>
      <c r="G122" s="364" t="s">
        <v>442</v>
      </c>
      <c r="H122" s="364"/>
      <c r="I122" s="364"/>
      <c r="J122" s="314">
        <v>99.6</v>
      </c>
    </row>
    <row r="123" spans="1:10" x14ac:dyDescent="0.2">
      <c r="A123" s="364"/>
      <c r="B123" s="364"/>
      <c r="C123" s="364"/>
      <c r="D123" s="364"/>
      <c r="E123" s="364"/>
      <c r="F123" s="364"/>
      <c r="G123" s="364" t="s">
        <v>443</v>
      </c>
      <c r="H123" s="364"/>
      <c r="I123" s="364"/>
      <c r="J123" s="314">
        <v>8.9473000000000003</v>
      </c>
    </row>
    <row r="124" spans="1:10" ht="15" x14ac:dyDescent="0.2">
      <c r="A124" s="291" t="s">
        <v>738</v>
      </c>
      <c r="B124" s="293" t="s">
        <v>7</v>
      </c>
      <c r="C124" s="291" t="s">
        <v>6</v>
      </c>
      <c r="D124" s="291" t="s">
        <v>739</v>
      </c>
      <c r="E124" s="293" t="s">
        <v>430</v>
      </c>
      <c r="F124" s="293" t="s">
        <v>740</v>
      </c>
      <c r="G124" s="363" t="s">
        <v>741</v>
      </c>
      <c r="H124" s="363"/>
      <c r="I124" s="363"/>
      <c r="J124" s="293" t="s">
        <v>433</v>
      </c>
    </row>
    <row r="125" spans="1:10" ht="25.5" x14ac:dyDescent="0.2">
      <c r="A125" s="300" t="s">
        <v>742</v>
      </c>
      <c r="B125" s="302" t="s">
        <v>119</v>
      </c>
      <c r="C125" s="300">
        <v>6416078</v>
      </c>
      <c r="D125" s="300" t="s">
        <v>743</v>
      </c>
      <c r="E125" s="305">
        <v>1.02</v>
      </c>
      <c r="F125" s="301" t="s">
        <v>98</v>
      </c>
      <c r="G125" s="374">
        <v>176.08</v>
      </c>
      <c r="H125" s="374"/>
      <c r="I125" s="368"/>
      <c r="J125" s="304">
        <v>179.60159999999999</v>
      </c>
    </row>
    <row r="126" spans="1:10" x14ac:dyDescent="0.2">
      <c r="A126" s="364"/>
      <c r="B126" s="364"/>
      <c r="C126" s="364"/>
      <c r="D126" s="364"/>
      <c r="E126" s="364"/>
      <c r="F126" s="364"/>
      <c r="G126" s="364" t="s">
        <v>744</v>
      </c>
      <c r="H126" s="364"/>
      <c r="I126" s="364"/>
      <c r="J126" s="314">
        <v>179.60159999999999</v>
      </c>
    </row>
    <row r="127" spans="1:10" ht="15" x14ac:dyDescent="0.2">
      <c r="A127" s="291" t="s">
        <v>745</v>
      </c>
      <c r="B127" s="293" t="s">
        <v>7</v>
      </c>
      <c r="C127" s="291" t="s">
        <v>130</v>
      </c>
      <c r="D127" s="291" t="s">
        <v>746</v>
      </c>
      <c r="E127" s="293" t="s">
        <v>6</v>
      </c>
      <c r="F127" s="293" t="s">
        <v>430</v>
      </c>
      <c r="G127" s="292" t="s">
        <v>740</v>
      </c>
      <c r="H127" s="363" t="s">
        <v>741</v>
      </c>
      <c r="I127" s="363"/>
      <c r="J127" s="293" t="s">
        <v>433</v>
      </c>
    </row>
    <row r="128" spans="1:10" ht="38.25" x14ac:dyDescent="0.2">
      <c r="A128" s="300" t="s">
        <v>747</v>
      </c>
      <c r="B128" s="302" t="s">
        <v>119</v>
      </c>
      <c r="C128" s="300">
        <v>6416078</v>
      </c>
      <c r="D128" s="300" t="s">
        <v>748</v>
      </c>
      <c r="E128" s="302">
        <v>5914649</v>
      </c>
      <c r="F128" s="305">
        <v>1.02</v>
      </c>
      <c r="G128" s="301" t="s">
        <v>98</v>
      </c>
      <c r="H128" s="374">
        <v>7.61</v>
      </c>
      <c r="I128" s="368"/>
      <c r="J128" s="304">
        <v>7.7622</v>
      </c>
    </row>
    <row r="129" spans="1:10" x14ac:dyDescent="0.2">
      <c r="A129" s="364"/>
      <c r="B129" s="364"/>
      <c r="C129" s="364"/>
      <c r="D129" s="364"/>
      <c r="E129" s="364"/>
      <c r="F129" s="364"/>
      <c r="G129" s="364" t="s">
        <v>749</v>
      </c>
      <c r="H129" s="364"/>
      <c r="I129" s="364"/>
      <c r="J129" s="314">
        <v>7.7622</v>
      </c>
    </row>
    <row r="130" spans="1:10" ht="15" x14ac:dyDescent="0.2">
      <c r="A130" s="291" t="s">
        <v>750</v>
      </c>
      <c r="B130" s="293" t="s">
        <v>7</v>
      </c>
      <c r="C130" s="291" t="s">
        <v>130</v>
      </c>
      <c r="D130" s="291" t="s">
        <v>751</v>
      </c>
      <c r="E130" s="293" t="s">
        <v>430</v>
      </c>
      <c r="F130" s="293" t="s">
        <v>740</v>
      </c>
      <c r="G130" s="375" t="s">
        <v>752</v>
      </c>
      <c r="H130" s="363"/>
      <c r="I130" s="363"/>
      <c r="J130" s="293" t="s">
        <v>433</v>
      </c>
    </row>
    <row r="131" spans="1:10" ht="15" x14ac:dyDescent="0.2">
      <c r="A131" s="292"/>
      <c r="B131" s="292"/>
      <c r="C131" s="292"/>
      <c r="D131" s="292"/>
      <c r="E131" s="292"/>
      <c r="F131" s="292"/>
      <c r="G131" s="292" t="s">
        <v>753</v>
      </c>
      <c r="H131" s="292" t="s">
        <v>754</v>
      </c>
      <c r="I131" s="292" t="s">
        <v>755</v>
      </c>
      <c r="J131" s="292"/>
    </row>
    <row r="132" spans="1:10" ht="38.25" x14ac:dyDescent="0.2">
      <c r="A132" s="300" t="s">
        <v>751</v>
      </c>
      <c r="B132" s="302" t="s">
        <v>119</v>
      </c>
      <c r="C132" s="300">
        <v>6416078</v>
      </c>
      <c r="D132" s="300" t="s">
        <v>756</v>
      </c>
      <c r="E132" s="305">
        <v>1.02</v>
      </c>
      <c r="F132" s="301" t="s">
        <v>122</v>
      </c>
      <c r="G132" s="302" t="s">
        <v>757</v>
      </c>
      <c r="H132" s="302" t="s">
        <v>758</v>
      </c>
      <c r="I132" s="302" t="s">
        <v>759</v>
      </c>
      <c r="J132" s="304">
        <v>0</v>
      </c>
    </row>
    <row r="133" spans="1:10" x14ac:dyDescent="0.2">
      <c r="A133" s="364"/>
      <c r="B133" s="364"/>
      <c r="C133" s="364"/>
      <c r="D133" s="364"/>
      <c r="E133" s="364"/>
      <c r="F133" s="364"/>
      <c r="G133" s="364" t="s">
        <v>760</v>
      </c>
      <c r="H133" s="364"/>
      <c r="I133" s="364"/>
      <c r="J133" s="314">
        <v>0</v>
      </c>
    </row>
    <row r="134" spans="1:10" x14ac:dyDescent="0.2">
      <c r="A134" s="317"/>
      <c r="B134" s="317"/>
      <c r="C134" s="317"/>
      <c r="D134" s="317"/>
      <c r="E134" s="317"/>
      <c r="F134" s="318"/>
      <c r="G134" s="317"/>
      <c r="H134" s="318"/>
      <c r="I134" s="317"/>
      <c r="J134" s="318"/>
    </row>
    <row r="135" spans="1:10" ht="15" customHeight="1" thickBot="1" x14ac:dyDescent="0.25">
      <c r="A135" s="317"/>
      <c r="B135" s="317"/>
      <c r="C135" s="317"/>
      <c r="D135" s="317"/>
      <c r="E135" s="317" t="s">
        <v>123</v>
      </c>
      <c r="F135" s="318">
        <v>46.53</v>
      </c>
      <c r="G135" s="317"/>
      <c r="H135" s="366" t="s">
        <v>124</v>
      </c>
      <c r="I135" s="366"/>
      <c r="J135" s="318">
        <v>242.86</v>
      </c>
    </row>
    <row r="136" spans="1:10" ht="15" thickTop="1" x14ac:dyDescent="0.2">
      <c r="A136" s="299"/>
      <c r="B136" s="299"/>
      <c r="C136" s="299"/>
      <c r="D136" s="299"/>
      <c r="E136" s="299"/>
      <c r="F136" s="299"/>
      <c r="G136" s="299"/>
      <c r="H136" s="299"/>
      <c r="I136" s="299"/>
      <c r="J136" s="299"/>
    </row>
    <row r="137" spans="1:10" ht="15" x14ac:dyDescent="0.2">
      <c r="A137" s="291" t="s">
        <v>761</v>
      </c>
      <c r="B137" s="293" t="s">
        <v>6</v>
      </c>
      <c r="C137" s="291" t="s">
        <v>7</v>
      </c>
      <c r="D137" s="291" t="s">
        <v>8</v>
      </c>
      <c r="E137" s="367" t="s">
        <v>114</v>
      </c>
      <c r="F137" s="367"/>
      <c r="G137" s="292" t="s">
        <v>9</v>
      </c>
      <c r="H137" s="293" t="s">
        <v>10</v>
      </c>
      <c r="I137" s="293" t="s">
        <v>11</v>
      </c>
      <c r="J137" s="293" t="s">
        <v>12</v>
      </c>
    </row>
    <row r="138" spans="1:10" ht="25.5" x14ac:dyDescent="0.2">
      <c r="A138" s="294" t="s">
        <v>115</v>
      </c>
      <c r="B138" s="296" t="s">
        <v>762</v>
      </c>
      <c r="C138" s="294" t="s">
        <v>119</v>
      </c>
      <c r="D138" s="294" t="s">
        <v>699</v>
      </c>
      <c r="E138" s="373" t="s">
        <v>121</v>
      </c>
      <c r="F138" s="373"/>
      <c r="G138" s="295" t="s">
        <v>122</v>
      </c>
      <c r="H138" s="298">
        <v>1</v>
      </c>
      <c r="I138" s="297">
        <v>0.95</v>
      </c>
      <c r="J138" s="297">
        <v>0.95</v>
      </c>
    </row>
    <row r="139" spans="1:10" ht="15" x14ac:dyDescent="0.2">
      <c r="A139" s="367" t="s">
        <v>428</v>
      </c>
      <c r="B139" s="363" t="s">
        <v>6</v>
      </c>
      <c r="C139" s="367" t="s">
        <v>7</v>
      </c>
      <c r="D139" s="367" t="s">
        <v>429</v>
      </c>
      <c r="E139" s="363" t="s">
        <v>430</v>
      </c>
      <c r="F139" s="375" t="s">
        <v>431</v>
      </c>
      <c r="G139" s="363"/>
      <c r="H139" s="375" t="s">
        <v>432</v>
      </c>
      <c r="I139" s="363"/>
      <c r="J139" s="363" t="s">
        <v>433</v>
      </c>
    </row>
    <row r="140" spans="1:10" ht="15" x14ac:dyDescent="0.2">
      <c r="A140" s="363"/>
      <c r="B140" s="363"/>
      <c r="C140" s="363"/>
      <c r="D140" s="363"/>
      <c r="E140" s="363"/>
      <c r="F140" s="293" t="s">
        <v>434</v>
      </c>
      <c r="G140" s="293" t="s">
        <v>435</v>
      </c>
      <c r="H140" s="293" t="s">
        <v>434</v>
      </c>
      <c r="I140" s="293" t="s">
        <v>435</v>
      </c>
      <c r="J140" s="363"/>
    </row>
    <row r="141" spans="1:10" x14ac:dyDescent="0.2">
      <c r="A141" s="306" t="s">
        <v>130</v>
      </c>
      <c r="B141" s="308" t="s">
        <v>763</v>
      </c>
      <c r="C141" s="306" t="s">
        <v>119</v>
      </c>
      <c r="D141" s="306" t="s">
        <v>764</v>
      </c>
      <c r="E141" s="311">
        <v>1</v>
      </c>
      <c r="F141" s="309">
        <v>1</v>
      </c>
      <c r="G141" s="309">
        <v>0</v>
      </c>
      <c r="H141" s="310">
        <v>292.44139999999999</v>
      </c>
      <c r="I141" s="310">
        <v>82.760599999999997</v>
      </c>
      <c r="J141" s="310">
        <v>292.44139999999999</v>
      </c>
    </row>
    <row r="142" spans="1:10" x14ac:dyDescent="0.2">
      <c r="A142" s="364"/>
      <c r="B142" s="364"/>
      <c r="C142" s="364"/>
      <c r="D142" s="364"/>
      <c r="E142" s="364"/>
      <c r="F142" s="364"/>
      <c r="G142" s="364" t="s">
        <v>438</v>
      </c>
      <c r="H142" s="364"/>
      <c r="I142" s="364"/>
      <c r="J142" s="314">
        <v>292.44139999999999</v>
      </c>
    </row>
    <row r="143" spans="1:10" x14ac:dyDescent="0.2">
      <c r="A143" s="364"/>
      <c r="B143" s="364"/>
      <c r="C143" s="364"/>
      <c r="D143" s="364"/>
      <c r="E143" s="364"/>
      <c r="F143" s="364"/>
      <c r="G143" s="364" t="s">
        <v>439</v>
      </c>
      <c r="H143" s="364"/>
      <c r="I143" s="364"/>
      <c r="J143" s="314">
        <v>292.44139999999999</v>
      </c>
    </row>
    <row r="144" spans="1:10" x14ac:dyDescent="0.2">
      <c r="A144" s="364"/>
      <c r="B144" s="364"/>
      <c r="C144" s="364"/>
      <c r="D144" s="364"/>
      <c r="E144" s="364"/>
      <c r="F144" s="364"/>
      <c r="G144" s="364" t="s">
        <v>440</v>
      </c>
      <c r="H144" s="364"/>
      <c r="I144" s="364"/>
      <c r="J144" s="314">
        <v>1.43E-2</v>
      </c>
    </row>
    <row r="145" spans="1:10" x14ac:dyDescent="0.2">
      <c r="A145" s="364"/>
      <c r="B145" s="364"/>
      <c r="C145" s="364"/>
      <c r="D145" s="364"/>
      <c r="E145" s="364"/>
      <c r="F145" s="364"/>
      <c r="G145" s="364" t="s">
        <v>441</v>
      </c>
      <c r="H145" s="364"/>
      <c r="I145" s="364"/>
      <c r="J145" s="314">
        <v>1.34E-2</v>
      </c>
    </row>
    <row r="146" spans="1:10" x14ac:dyDescent="0.2">
      <c r="A146" s="364"/>
      <c r="B146" s="364"/>
      <c r="C146" s="364"/>
      <c r="D146" s="364"/>
      <c r="E146" s="364"/>
      <c r="F146" s="364"/>
      <c r="G146" s="364" t="s">
        <v>442</v>
      </c>
      <c r="H146" s="364"/>
      <c r="I146" s="364"/>
      <c r="J146" s="314">
        <v>311.25</v>
      </c>
    </row>
    <row r="147" spans="1:10" x14ac:dyDescent="0.2">
      <c r="A147" s="364"/>
      <c r="B147" s="364"/>
      <c r="C147" s="364"/>
      <c r="D147" s="364"/>
      <c r="E147" s="364"/>
      <c r="F147" s="364"/>
      <c r="G147" s="364" t="s">
        <v>443</v>
      </c>
      <c r="H147" s="364"/>
      <c r="I147" s="364"/>
      <c r="J147" s="314">
        <v>0.93959999999999999</v>
      </c>
    </row>
    <row r="148" spans="1:10" x14ac:dyDescent="0.2">
      <c r="A148" s="317"/>
      <c r="B148" s="317"/>
      <c r="C148" s="317"/>
      <c r="D148" s="317"/>
      <c r="E148" s="317"/>
      <c r="F148" s="318"/>
      <c r="G148" s="317"/>
      <c r="H148" s="318"/>
      <c r="I148" s="317"/>
      <c r="J148" s="318"/>
    </row>
    <row r="149" spans="1:10" ht="15" customHeight="1" thickBot="1" x14ac:dyDescent="0.25">
      <c r="A149" s="317"/>
      <c r="B149" s="317"/>
      <c r="C149" s="317"/>
      <c r="D149" s="317"/>
      <c r="E149" s="317" t="s">
        <v>123</v>
      </c>
      <c r="F149" s="318">
        <v>0.22</v>
      </c>
      <c r="G149" s="317"/>
      <c r="H149" s="366" t="s">
        <v>124</v>
      </c>
      <c r="I149" s="366"/>
      <c r="J149" s="318">
        <v>1.17</v>
      </c>
    </row>
    <row r="150" spans="1:10" ht="15" thickTop="1" x14ac:dyDescent="0.2">
      <c r="A150" s="299"/>
      <c r="B150" s="299"/>
      <c r="C150" s="299"/>
      <c r="D150" s="299"/>
      <c r="E150" s="299"/>
      <c r="F150" s="299"/>
      <c r="G150" s="299"/>
      <c r="H150" s="299"/>
      <c r="I150" s="299"/>
      <c r="J150" s="299"/>
    </row>
    <row r="151" spans="1:10" ht="15" x14ac:dyDescent="0.2">
      <c r="A151" s="291" t="s">
        <v>765</v>
      </c>
      <c r="B151" s="293" t="s">
        <v>6</v>
      </c>
      <c r="C151" s="291" t="s">
        <v>7</v>
      </c>
      <c r="D151" s="291" t="s">
        <v>8</v>
      </c>
      <c r="E151" s="367" t="s">
        <v>114</v>
      </c>
      <c r="F151" s="367"/>
      <c r="G151" s="292" t="s">
        <v>9</v>
      </c>
      <c r="H151" s="293" t="s">
        <v>10</v>
      </c>
      <c r="I151" s="293" t="s">
        <v>11</v>
      </c>
      <c r="J151" s="293" t="s">
        <v>12</v>
      </c>
    </row>
    <row r="152" spans="1:10" x14ac:dyDescent="0.2">
      <c r="A152" s="294" t="s">
        <v>115</v>
      </c>
      <c r="B152" s="296" t="s">
        <v>766</v>
      </c>
      <c r="C152" s="294" t="s">
        <v>119</v>
      </c>
      <c r="D152" s="294" t="s">
        <v>700</v>
      </c>
      <c r="E152" s="373" t="s">
        <v>121</v>
      </c>
      <c r="F152" s="373"/>
      <c r="G152" s="295" t="s">
        <v>122</v>
      </c>
      <c r="H152" s="298">
        <v>1</v>
      </c>
      <c r="I152" s="297">
        <v>0.78</v>
      </c>
      <c r="J152" s="297">
        <v>0.78</v>
      </c>
    </row>
    <row r="153" spans="1:10" ht="15" x14ac:dyDescent="0.2">
      <c r="A153" s="367" t="s">
        <v>428</v>
      </c>
      <c r="B153" s="363" t="s">
        <v>6</v>
      </c>
      <c r="C153" s="367" t="s">
        <v>7</v>
      </c>
      <c r="D153" s="367" t="s">
        <v>429</v>
      </c>
      <c r="E153" s="363" t="s">
        <v>430</v>
      </c>
      <c r="F153" s="375" t="s">
        <v>431</v>
      </c>
      <c r="G153" s="363"/>
      <c r="H153" s="375" t="s">
        <v>432</v>
      </c>
      <c r="I153" s="363"/>
      <c r="J153" s="363" t="s">
        <v>433</v>
      </c>
    </row>
    <row r="154" spans="1:10" ht="15" x14ac:dyDescent="0.2">
      <c r="A154" s="363"/>
      <c r="B154" s="363"/>
      <c r="C154" s="363"/>
      <c r="D154" s="363"/>
      <c r="E154" s="363"/>
      <c r="F154" s="293" t="s">
        <v>434</v>
      </c>
      <c r="G154" s="293" t="s">
        <v>435</v>
      </c>
      <c r="H154" s="293" t="s">
        <v>434</v>
      </c>
      <c r="I154" s="293" t="s">
        <v>435</v>
      </c>
      <c r="J154" s="363"/>
    </row>
    <row r="155" spans="1:10" x14ac:dyDescent="0.2">
      <c r="A155" s="306" t="s">
        <v>130</v>
      </c>
      <c r="B155" s="308" t="s">
        <v>763</v>
      </c>
      <c r="C155" s="306" t="s">
        <v>119</v>
      </c>
      <c r="D155" s="306" t="s">
        <v>764</v>
      </c>
      <c r="E155" s="311">
        <v>1</v>
      </c>
      <c r="F155" s="309">
        <v>1</v>
      </c>
      <c r="G155" s="309">
        <v>0</v>
      </c>
      <c r="H155" s="310">
        <v>292.44139999999999</v>
      </c>
      <c r="I155" s="310">
        <v>82.760599999999997</v>
      </c>
      <c r="J155" s="310">
        <v>292.44139999999999</v>
      </c>
    </row>
    <row r="156" spans="1:10" x14ac:dyDescent="0.2">
      <c r="A156" s="364"/>
      <c r="B156" s="364"/>
      <c r="C156" s="364"/>
      <c r="D156" s="364"/>
      <c r="E156" s="364"/>
      <c r="F156" s="364"/>
      <c r="G156" s="364" t="s">
        <v>438</v>
      </c>
      <c r="H156" s="364"/>
      <c r="I156" s="364"/>
      <c r="J156" s="314">
        <v>292.44139999999999</v>
      </c>
    </row>
    <row r="157" spans="1:10" x14ac:dyDescent="0.2">
      <c r="A157" s="364"/>
      <c r="B157" s="364"/>
      <c r="C157" s="364"/>
      <c r="D157" s="364"/>
      <c r="E157" s="364"/>
      <c r="F157" s="364"/>
      <c r="G157" s="364" t="s">
        <v>439</v>
      </c>
      <c r="H157" s="364"/>
      <c r="I157" s="364"/>
      <c r="J157" s="314">
        <v>292.44139999999999</v>
      </c>
    </row>
    <row r="158" spans="1:10" x14ac:dyDescent="0.2">
      <c r="A158" s="364"/>
      <c r="B158" s="364"/>
      <c r="C158" s="364"/>
      <c r="D158" s="364"/>
      <c r="E158" s="364"/>
      <c r="F158" s="364"/>
      <c r="G158" s="364" t="s">
        <v>440</v>
      </c>
      <c r="H158" s="364"/>
      <c r="I158" s="364"/>
      <c r="J158" s="314">
        <v>0</v>
      </c>
    </row>
    <row r="159" spans="1:10" x14ac:dyDescent="0.2">
      <c r="A159" s="364"/>
      <c r="B159" s="364"/>
      <c r="C159" s="364"/>
      <c r="D159" s="364"/>
      <c r="E159" s="364"/>
      <c r="F159" s="364"/>
      <c r="G159" s="364" t="s">
        <v>441</v>
      </c>
      <c r="H159" s="364"/>
      <c r="I159" s="364"/>
      <c r="J159" s="314">
        <v>0</v>
      </c>
    </row>
    <row r="160" spans="1:10" x14ac:dyDescent="0.2">
      <c r="A160" s="364"/>
      <c r="B160" s="364"/>
      <c r="C160" s="364"/>
      <c r="D160" s="364"/>
      <c r="E160" s="364"/>
      <c r="F160" s="364"/>
      <c r="G160" s="364" t="s">
        <v>442</v>
      </c>
      <c r="H160" s="364"/>
      <c r="I160" s="364"/>
      <c r="J160" s="314">
        <v>373.5</v>
      </c>
    </row>
    <row r="161" spans="1:10" x14ac:dyDescent="0.2">
      <c r="A161" s="364"/>
      <c r="B161" s="364"/>
      <c r="C161" s="364"/>
      <c r="D161" s="364"/>
      <c r="E161" s="364"/>
      <c r="F161" s="364"/>
      <c r="G161" s="364" t="s">
        <v>443</v>
      </c>
      <c r="H161" s="364"/>
      <c r="I161" s="364"/>
      <c r="J161" s="314">
        <v>0.78300000000000003</v>
      </c>
    </row>
    <row r="162" spans="1:10" x14ac:dyDescent="0.2">
      <c r="A162" s="317"/>
      <c r="B162" s="317"/>
      <c r="C162" s="317"/>
      <c r="D162" s="317"/>
      <c r="E162" s="317"/>
      <c r="F162" s="318"/>
      <c r="G162" s="317"/>
      <c r="H162" s="318"/>
      <c r="I162" s="317"/>
      <c r="J162" s="318"/>
    </row>
    <row r="163" spans="1:10" ht="15" customHeight="1" thickBot="1" x14ac:dyDescent="0.25">
      <c r="A163" s="317"/>
      <c r="B163" s="317"/>
      <c r="C163" s="317"/>
      <c r="D163" s="317"/>
      <c r="E163" s="317" t="s">
        <v>123</v>
      </c>
      <c r="F163" s="318">
        <v>0.18</v>
      </c>
      <c r="G163" s="317"/>
      <c r="H163" s="366" t="s">
        <v>124</v>
      </c>
      <c r="I163" s="366"/>
      <c r="J163" s="318">
        <v>0.96</v>
      </c>
    </row>
    <row r="164" spans="1:10" ht="15" thickTop="1" x14ac:dyDescent="0.2">
      <c r="A164" s="299"/>
      <c r="B164" s="299"/>
      <c r="C164" s="299"/>
      <c r="D164" s="299"/>
      <c r="E164" s="299"/>
      <c r="F164" s="299"/>
      <c r="G164" s="299"/>
      <c r="H164" s="299"/>
      <c r="I164" s="299"/>
      <c r="J164" s="299"/>
    </row>
    <row r="165" spans="1:10" ht="15" x14ac:dyDescent="0.2">
      <c r="A165" s="291" t="s">
        <v>911</v>
      </c>
      <c r="B165" s="293" t="s">
        <v>6</v>
      </c>
      <c r="C165" s="291" t="s">
        <v>7</v>
      </c>
      <c r="D165" s="291" t="s">
        <v>8</v>
      </c>
      <c r="E165" s="367" t="s">
        <v>114</v>
      </c>
      <c r="F165" s="367"/>
      <c r="G165" s="292" t="s">
        <v>9</v>
      </c>
      <c r="H165" s="293" t="s">
        <v>10</v>
      </c>
      <c r="I165" s="293" t="s">
        <v>11</v>
      </c>
      <c r="J165" s="293" t="s">
        <v>12</v>
      </c>
    </row>
    <row r="166" spans="1:10" x14ac:dyDescent="0.2">
      <c r="A166" s="294" t="s">
        <v>115</v>
      </c>
      <c r="B166" s="296" t="s">
        <v>770</v>
      </c>
      <c r="C166" s="294" t="s">
        <v>119</v>
      </c>
      <c r="D166" s="294" t="s">
        <v>702</v>
      </c>
      <c r="E166" s="373" t="s">
        <v>121</v>
      </c>
      <c r="F166" s="373"/>
      <c r="G166" s="295" t="s">
        <v>122</v>
      </c>
      <c r="H166" s="298">
        <v>1</v>
      </c>
      <c r="I166" s="297">
        <v>0.91</v>
      </c>
      <c r="J166" s="297">
        <v>0.91</v>
      </c>
    </row>
    <row r="167" spans="1:10" ht="15" x14ac:dyDescent="0.2">
      <c r="A167" s="367" t="s">
        <v>428</v>
      </c>
      <c r="B167" s="363" t="s">
        <v>6</v>
      </c>
      <c r="C167" s="367" t="s">
        <v>7</v>
      </c>
      <c r="D167" s="367" t="s">
        <v>429</v>
      </c>
      <c r="E167" s="363" t="s">
        <v>430</v>
      </c>
      <c r="F167" s="375" t="s">
        <v>431</v>
      </c>
      <c r="G167" s="363"/>
      <c r="H167" s="375" t="s">
        <v>432</v>
      </c>
      <c r="I167" s="363"/>
      <c r="J167" s="363" t="s">
        <v>433</v>
      </c>
    </row>
    <row r="168" spans="1:10" ht="15" x14ac:dyDescent="0.2">
      <c r="A168" s="363"/>
      <c r="B168" s="363"/>
      <c r="C168" s="363"/>
      <c r="D168" s="363"/>
      <c r="E168" s="363"/>
      <c r="F168" s="293" t="s">
        <v>434</v>
      </c>
      <c r="G168" s="293" t="s">
        <v>435</v>
      </c>
      <c r="H168" s="293" t="s">
        <v>434</v>
      </c>
      <c r="I168" s="293" t="s">
        <v>435</v>
      </c>
      <c r="J168" s="363"/>
    </row>
    <row r="169" spans="1:10" x14ac:dyDescent="0.2">
      <c r="A169" s="306" t="s">
        <v>130</v>
      </c>
      <c r="B169" s="308" t="s">
        <v>768</v>
      </c>
      <c r="C169" s="306" t="s">
        <v>119</v>
      </c>
      <c r="D169" s="306" t="s">
        <v>769</v>
      </c>
      <c r="E169" s="311">
        <v>1</v>
      </c>
      <c r="F169" s="309">
        <v>1</v>
      </c>
      <c r="G169" s="309">
        <v>0</v>
      </c>
      <c r="H169" s="310">
        <v>278.09460000000001</v>
      </c>
      <c r="I169" s="310">
        <v>75.520799999999994</v>
      </c>
      <c r="J169" s="310">
        <v>278.09460000000001</v>
      </c>
    </row>
    <row r="170" spans="1:10" x14ac:dyDescent="0.2">
      <c r="A170" s="364"/>
      <c r="B170" s="364"/>
      <c r="C170" s="364"/>
      <c r="D170" s="364"/>
      <c r="E170" s="364"/>
      <c r="F170" s="364"/>
      <c r="G170" s="364" t="s">
        <v>438</v>
      </c>
      <c r="H170" s="364"/>
      <c r="I170" s="364"/>
      <c r="J170" s="314">
        <v>278.09460000000001</v>
      </c>
    </row>
    <row r="171" spans="1:10" x14ac:dyDescent="0.2">
      <c r="A171" s="364"/>
      <c r="B171" s="364"/>
      <c r="C171" s="364"/>
      <c r="D171" s="364"/>
      <c r="E171" s="364"/>
      <c r="F171" s="364"/>
      <c r="G171" s="364" t="s">
        <v>439</v>
      </c>
      <c r="H171" s="364"/>
      <c r="I171" s="364"/>
      <c r="J171" s="314">
        <v>278.09460000000001</v>
      </c>
    </row>
    <row r="172" spans="1:10" x14ac:dyDescent="0.2">
      <c r="A172" s="364"/>
      <c r="B172" s="364"/>
      <c r="C172" s="364"/>
      <c r="D172" s="364"/>
      <c r="E172" s="364"/>
      <c r="F172" s="364"/>
      <c r="G172" s="364" t="s">
        <v>440</v>
      </c>
      <c r="H172" s="364"/>
      <c r="I172" s="364"/>
      <c r="J172" s="314">
        <v>1.43E-2</v>
      </c>
    </row>
    <row r="173" spans="1:10" x14ac:dyDescent="0.2">
      <c r="A173" s="364"/>
      <c r="B173" s="364"/>
      <c r="C173" s="364"/>
      <c r="D173" s="364"/>
      <c r="E173" s="364"/>
      <c r="F173" s="364"/>
      <c r="G173" s="364" t="s">
        <v>441</v>
      </c>
      <c r="H173" s="364"/>
      <c r="I173" s="364"/>
      <c r="J173" s="314">
        <v>1.2800000000000001E-2</v>
      </c>
    </row>
    <row r="174" spans="1:10" x14ac:dyDescent="0.2">
      <c r="A174" s="364"/>
      <c r="B174" s="364"/>
      <c r="C174" s="364"/>
      <c r="D174" s="364"/>
      <c r="E174" s="364"/>
      <c r="F174" s="364"/>
      <c r="G174" s="364" t="s">
        <v>442</v>
      </c>
      <c r="H174" s="364"/>
      <c r="I174" s="364"/>
      <c r="J174" s="314">
        <v>310.73</v>
      </c>
    </row>
    <row r="175" spans="1:10" x14ac:dyDescent="0.2">
      <c r="A175" s="364"/>
      <c r="B175" s="364"/>
      <c r="C175" s="364"/>
      <c r="D175" s="364"/>
      <c r="E175" s="364"/>
      <c r="F175" s="364"/>
      <c r="G175" s="364" t="s">
        <v>443</v>
      </c>
      <c r="H175" s="364"/>
      <c r="I175" s="364"/>
      <c r="J175" s="314">
        <v>0.89500000000000002</v>
      </c>
    </row>
    <row r="176" spans="1:10" x14ac:dyDescent="0.2">
      <c r="A176" s="317"/>
      <c r="B176" s="317"/>
      <c r="C176" s="317"/>
      <c r="D176" s="317"/>
      <c r="E176" s="317"/>
      <c r="F176" s="318"/>
      <c r="G176" s="317"/>
      <c r="H176" s="318"/>
      <c r="I176" s="317"/>
      <c r="J176" s="318"/>
    </row>
    <row r="177" spans="1:10" ht="15" customHeight="1" thickBot="1" x14ac:dyDescent="0.25">
      <c r="A177" s="317"/>
      <c r="B177" s="317"/>
      <c r="C177" s="317"/>
      <c r="D177" s="317"/>
      <c r="E177" s="317" t="s">
        <v>123</v>
      </c>
      <c r="F177" s="318">
        <v>0.21</v>
      </c>
      <c r="G177" s="317"/>
      <c r="H177" s="366" t="s">
        <v>124</v>
      </c>
      <c r="I177" s="366"/>
      <c r="J177" s="318">
        <v>1.1200000000000001</v>
      </c>
    </row>
    <row r="178" spans="1:10" ht="15" thickTop="1" x14ac:dyDescent="0.2">
      <c r="A178" s="299"/>
      <c r="B178" s="299"/>
      <c r="C178" s="299"/>
      <c r="D178" s="299"/>
      <c r="E178" s="299"/>
      <c r="F178" s="299"/>
      <c r="G178" s="299"/>
      <c r="H178" s="299"/>
      <c r="I178" s="299"/>
      <c r="J178" s="299"/>
    </row>
    <row r="179" spans="1:10" ht="15" x14ac:dyDescent="0.2">
      <c r="A179" s="291" t="s">
        <v>912</v>
      </c>
      <c r="B179" s="293" t="s">
        <v>6</v>
      </c>
      <c r="C179" s="291" t="s">
        <v>7</v>
      </c>
      <c r="D179" s="291" t="s">
        <v>8</v>
      </c>
      <c r="E179" s="367" t="s">
        <v>114</v>
      </c>
      <c r="F179" s="367"/>
      <c r="G179" s="292" t="s">
        <v>9</v>
      </c>
      <c r="H179" s="293" t="s">
        <v>10</v>
      </c>
      <c r="I179" s="293" t="s">
        <v>11</v>
      </c>
      <c r="J179" s="293" t="s">
        <v>12</v>
      </c>
    </row>
    <row r="180" spans="1:10" x14ac:dyDescent="0.2">
      <c r="A180" s="294" t="s">
        <v>115</v>
      </c>
      <c r="B180" s="296" t="s">
        <v>767</v>
      </c>
      <c r="C180" s="294" t="s">
        <v>119</v>
      </c>
      <c r="D180" s="294" t="s">
        <v>701</v>
      </c>
      <c r="E180" s="373" t="s">
        <v>121</v>
      </c>
      <c r="F180" s="373"/>
      <c r="G180" s="295" t="s">
        <v>122</v>
      </c>
      <c r="H180" s="298">
        <v>1</v>
      </c>
      <c r="I180" s="297">
        <v>0.75</v>
      </c>
      <c r="J180" s="297">
        <v>0.75</v>
      </c>
    </row>
    <row r="181" spans="1:10" ht="15" x14ac:dyDescent="0.2">
      <c r="A181" s="367" t="s">
        <v>428</v>
      </c>
      <c r="B181" s="363" t="s">
        <v>6</v>
      </c>
      <c r="C181" s="367" t="s">
        <v>7</v>
      </c>
      <c r="D181" s="367" t="s">
        <v>429</v>
      </c>
      <c r="E181" s="363" t="s">
        <v>430</v>
      </c>
      <c r="F181" s="375" t="s">
        <v>431</v>
      </c>
      <c r="G181" s="363"/>
      <c r="H181" s="375" t="s">
        <v>432</v>
      </c>
      <c r="I181" s="363"/>
      <c r="J181" s="363" t="s">
        <v>433</v>
      </c>
    </row>
    <row r="182" spans="1:10" ht="15" x14ac:dyDescent="0.2">
      <c r="A182" s="363"/>
      <c r="B182" s="363"/>
      <c r="C182" s="363"/>
      <c r="D182" s="363"/>
      <c r="E182" s="363"/>
      <c r="F182" s="293" t="s">
        <v>434</v>
      </c>
      <c r="G182" s="293" t="s">
        <v>435</v>
      </c>
      <c r="H182" s="293" t="s">
        <v>434</v>
      </c>
      <c r="I182" s="293" t="s">
        <v>435</v>
      </c>
      <c r="J182" s="363"/>
    </row>
    <row r="183" spans="1:10" x14ac:dyDescent="0.2">
      <c r="A183" s="306" t="s">
        <v>130</v>
      </c>
      <c r="B183" s="308" t="s">
        <v>768</v>
      </c>
      <c r="C183" s="306" t="s">
        <v>119</v>
      </c>
      <c r="D183" s="306" t="s">
        <v>769</v>
      </c>
      <c r="E183" s="311">
        <v>1</v>
      </c>
      <c r="F183" s="309">
        <v>1</v>
      </c>
      <c r="G183" s="309">
        <v>0</v>
      </c>
      <c r="H183" s="310">
        <v>278.09460000000001</v>
      </c>
      <c r="I183" s="310">
        <v>75.520799999999994</v>
      </c>
      <c r="J183" s="310">
        <v>278.09460000000001</v>
      </c>
    </row>
    <row r="184" spans="1:10" x14ac:dyDescent="0.2">
      <c r="A184" s="364"/>
      <c r="B184" s="364"/>
      <c r="C184" s="364"/>
      <c r="D184" s="364"/>
      <c r="E184" s="364"/>
      <c r="F184" s="364"/>
      <c r="G184" s="364" t="s">
        <v>438</v>
      </c>
      <c r="H184" s="364"/>
      <c r="I184" s="364"/>
      <c r="J184" s="314">
        <v>278.09460000000001</v>
      </c>
    </row>
    <row r="185" spans="1:10" x14ac:dyDescent="0.2">
      <c r="A185" s="364"/>
      <c r="B185" s="364"/>
      <c r="C185" s="364"/>
      <c r="D185" s="364"/>
      <c r="E185" s="364"/>
      <c r="F185" s="364"/>
      <c r="G185" s="364" t="s">
        <v>439</v>
      </c>
      <c r="H185" s="364"/>
      <c r="I185" s="364"/>
      <c r="J185" s="314">
        <v>278.09460000000001</v>
      </c>
    </row>
    <row r="186" spans="1:10" x14ac:dyDescent="0.2">
      <c r="A186" s="364"/>
      <c r="B186" s="364"/>
      <c r="C186" s="364"/>
      <c r="D186" s="364"/>
      <c r="E186" s="364"/>
      <c r="F186" s="364"/>
      <c r="G186" s="364" t="s">
        <v>440</v>
      </c>
      <c r="H186" s="364"/>
      <c r="I186" s="364"/>
      <c r="J186" s="314">
        <v>0</v>
      </c>
    </row>
    <row r="187" spans="1:10" x14ac:dyDescent="0.2">
      <c r="A187" s="364"/>
      <c r="B187" s="364"/>
      <c r="C187" s="364"/>
      <c r="D187" s="364"/>
      <c r="E187" s="364"/>
      <c r="F187" s="364"/>
      <c r="G187" s="364" t="s">
        <v>441</v>
      </c>
      <c r="H187" s="364"/>
      <c r="I187" s="364"/>
      <c r="J187" s="314">
        <v>0</v>
      </c>
    </row>
    <row r="188" spans="1:10" x14ac:dyDescent="0.2">
      <c r="A188" s="364"/>
      <c r="B188" s="364"/>
      <c r="C188" s="364"/>
      <c r="D188" s="364"/>
      <c r="E188" s="364"/>
      <c r="F188" s="364"/>
      <c r="G188" s="364" t="s">
        <v>442</v>
      </c>
      <c r="H188" s="364"/>
      <c r="I188" s="364"/>
      <c r="J188" s="314">
        <v>372.88</v>
      </c>
    </row>
    <row r="189" spans="1:10" x14ac:dyDescent="0.2">
      <c r="A189" s="364"/>
      <c r="B189" s="364"/>
      <c r="C189" s="364"/>
      <c r="D189" s="364"/>
      <c r="E189" s="364"/>
      <c r="F189" s="364"/>
      <c r="G189" s="364" t="s">
        <v>443</v>
      </c>
      <c r="H189" s="364"/>
      <c r="I189" s="364"/>
      <c r="J189" s="314">
        <v>0.74580000000000002</v>
      </c>
    </row>
    <row r="190" spans="1:10" x14ac:dyDescent="0.2">
      <c r="A190" s="317"/>
      <c r="B190" s="317"/>
      <c r="C190" s="317"/>
      <c r="D190" s="317"/>
      <c r="E190" s="317"/>
      <c r="F190" s="318"/>
      <c r="G190" s="317"/>
      <c r="H190" s="318"/>
      <c r="I190" s="317"/>
      <c r="J190" s="318"/>
    </row>
    <row r="191" spans="1:10" ht="15" customHeight="1" thickBot="1" x14ac:dyDescent="0.25">
      <c r="A191" s="317"/>
      <c r="B191" s="317"/>
      <c r="C191" s="317"/>
      <c r="D191" s="317"/>
      <c r="E191" s="317" t="s">
        <v>123</v>
      </c>
      <c r="F191" s="318">
        <v>0.17</v>
      </c>
      <c r="G191" s="317"/>
      <c r="H191" s="366" t="s">
        <v>124</v>
      </c>
      <c r="I191" s="366"/>
      <c r="J191" s="318">
        <v>0.92</v>
      </c>
    </row>
    <row r="192" spans="1:10" ht="15" thickTop="1" x14ac:dyDescent="0.2">
      <c r="A192" s="299"/>
      <c r="B192" s="299"/>
      <c r="C192" s="299"/>
      <c r="D192" s="299"/>
      <c r="E192" s="299"/>
      <c r="F192" s="299"/>
      <c r="G192" s="299"/>
      <c r="H192" s="299"/>
      <c r="I192" s="299"/>
      <c r="J192" s="299"/>
    </row>
    <row r="193" spans="1:10" ht="15" x14ac:dyDescent="0.2">
      <c r="A193" s="291" t="s">
        <v>50</v>
      </c>
      <c r="B193" s="293" t="s">
        <v>6</v>
      </c>
      <c r="C193" s="291" t="s">
        <v>7</v>
      </c>
      <c r="D193" s="291" t="s">
        <v>8</v>
      </c>
      <c r="E193" s="367" t="s">
        <v>114</v>
      </c>
      <c r="F193" s="367"/>
      <c r="G193" s="292" t="s">
        <v>9</v>
      </c>
      <c r="H193" s="293" t="s">
        <v>10</v>
      </c>
      <c r="I193" s="293" t="s">
        <v>11</v>
      </c>
      <c r="J193" s="293" t="s">
        <v>12</v>
      </c>
    </row>
    <row r="194" spans="1:10" ht="25.5" x14ac:dyDescent="0.2">
      <c r="A194" s="294" t="s">
        <v>115</v>
      </c>
      <c r="B194" s="296" t="s">
        <v>1005</v>
      </c>
      <c r="C194" s="294" t="s">
        <v>119</v>
      </c>
      <c r="D194" s="294" t="s">
        <v>874</v>
      </c>
      <c r="E194" s="373" t="s">
        <v>121</v>
      </c>
      <c r="F194" s="373"/>
      <c r="G194" s="295" t="s">
        <v>191</v>
      </c>
      <c r="H194" s="298">
        <v>1</v>
      </c>
      <c r="I194" s="297">
        <v>198.65</v>
      </c>
      <c r="J194" s="297">
        <v>198.65</v>
      </c>
    </row>
    <row r="195" spans="1:10" ht="15" x14ac:dyDescent="0.2">
      <c r="A195" s="367" t="s">
        <v>428</v>
      </c>
      <c r="B195" s="363" t="s">
        <v>6</v>
      </c>
      <c r="C195" s="367" t="s">
        <v>7</v>
      </c>
      <c r="D195" s="367" t="s">
        <v>429</v>
      </c>
      <c r="E195" s="363" t="s">
        <v>430</v>
      </c>
      <c r="F195" s="375" t="s">
        <v>431</v>
      </c>
      <c r="G195" s="363"/>
      <c r="H195" s="375" t="s">
        <v>432</v>
      </c>
      <c r="I195" s="363"/>
      <c r="J195" s="363" t="s">
        <v>433</v>
      </c>
    </row>
    <row r="196" spans="1:10" ht="15" x14ac:dyDescent="0.2">
      <c r="A196" s="363"/>
      <c r="B196" s="363"/>
      <c r="C196" s="363"/>
      <c r="D196" s="363"/>
      <c r="E196" s="363"/>
      <c r="F196" s="293" t="s">
        <v>434</v>
      </c>
      <c r="G196" s="293" t="s">
        <v>435</v>
      </c>
      <c r="H196" s="293" t="s">
        <v>434</v>
      </c>
      <c r="I196" s="293" t="s">
        <v>435</v>
      </c>
      <c r="J196" s="363"/>
    </row>
    <row r="197" spans="1:10" x14ac:dyDescent="0.2">
      <c r="A197" s="306" t="s">
        <v>130</v>
      </c>
      <c r="B197" s="308" t="s">
        <v>913</v>
      </c>
      <c r="C197" s="306" t="s">
        <v>119</v>
      </c>
      <c r="D197" s="306" t="s">
        <v>914</v>
      </c>
      <c r="E197" s="311">
        <v>1</v>
      </c>
      <c r="F197" s="309">
        <v>0.3</v>
      </c>
      <c r="G197" s="309">
        <v>0.7</v>
      </c>
      <c r="H197" s="310">
        <v>151.2953</v>
      </c>
      <c r="I197" s="310">
        <v>56.024700000000003</v>
      </c>
      <c r="J197" s="310">
        <v>84.605900000000005</v>
      </c>
    </row>
    <row r="198" spans="1:10" x14ac:dyDescent="0.2">
      <c r="A198" s="364"/>
      <c r="B198" s="364"/>
      <c r="C198" s="364"/>
      <c r="D198" s="364"/>
      <c r="E198" s="364"/>
      <c r="F198" s="364"/>
      <c r="G198" s="364" t="s">
        <v>438</v>
      </c>
      <c r="H198" s="364"/>
      <c r="I198" s="364"/>
      <c r="J198" s="314">
        <v>84.605900000000005</v>
      </c>
    </row>
    <row r="199" spans="1:10" ht="15" x14ac:dyDescent="0.2">
      <c r="A199" s="291" t="s">
        <v>724</v>
      </c>
      <c r="B199" s="293" t="s">
        <v>6</v>
      </c>
      <c r="C199" s="291" t="s">
        <v>7</v>
      </c>
      <c r="D199" s="291" t="s">
        <v>160</v>
      </c>
      <c r="E199" s="293" t="s">
        <v>430</v>
      </c>
      <c r="F199" s="363" t="s">
        <v>725</v>
      </c>
      <c r="G199" s="363"/>
      <c r="H199" s="363"/>
      <c r="I199" s="363"/>
      <c r="J199" s="293" t="s">
        <v>433</v>
      </c>
    </row>
    <row r="200" spans="1:10" x14ac:dyDescent="0.2">
      <c r="A200" s="306" t="s">
        <v>130</v>
      </c>
      <c r="B200" s="308" t="s">
        <v>915</v>
      </c>
      <c r="C200" s="306" t="s">
        <v>119</v>
      </c>
      <c r="D200" s="306" t="s">
        <v>916</v>
      </c>
      <c r="E200" s="311">
        <v>1</v>
      </c>
      <c r="F200" s="306"/>
      <c r="G200" s="306"/>
      <c r="H200" s="306"/>
      <c r="I200" s="310">
        <v>27.5366</v>
      </c>
      <c r="J200" s="310">
        <v>27.5366</v>
      </c>
    </row>
    <row r="201" spans="1:10" ht="15" customHeight="1" x14ac:dyDescent="0.2">
      <c r="A201" s="306" t="s">
        <v>130</v>
      </c>
      <c r="B201" s="308" t="s">
        <v>726</v>
      </c>
      <c r="C201" s="306" t="s">
        <v>119</v>
      </c>
      <c r="D201" s="306" t="s">
        <v>727</v>
      </c>
      <c r="E201" s="311">
        <v>2</v>
      </c>
      <c r="F201" s="306"/>
      <c r="G201" s="306"/>
      <c r="H201" s="306"/>
      <c r="I201" s="310">
        <v>18.924900000000001</v>
      </c>
      <c r="J201" s="310">
        <v>37.849800000000002</v>
      </c>
    </row>
    <row r="202" spans="1:10" x14ac:dyDescent="0.2">
      <c r="A202" s="364"/>
      <c r="B202" s="364"/>
      <c r="C202" s="364"/>
      <c r="D202" s="364"/>
      <c r="E202" s="364"/>
      <c r="F202" s="364"/>
      <c r="G202" s="364" t="s">
        <v>728</v>
      </c>
      <c r="H202" s="364"/>
      <c r="I202" s="364"/>
      <c r="J202" s="314">
        <v>65.386399999999995</v>
      </c>
    </row>
    <row r="203" spans="1:10" x14ac:dyDescent="0.2">
      <c r="A203" s="364"/>
      <c r="B203" s="364"/>
      <c r="C203" s="364"/>
      <c r="D203" s="364"/>
      <c r="E203" s="364"/>
      <c r="F203" s="364"/>
      <c r="G203" s="364" t="s">
        <v>729</v>
      </c>
      <c r="H203" s="364"/>
      <c r="I203" s="364"/>
      <c r="J203" s="314">
        <v>0</v>
      </c>
    </row>
    <row r="204" spans="1:10" x14ac:dyDescent="0.2">
      <c r="A204" s="364"/>
      <c r="B204" s="364"/>
      <c r="C204" s="364"/>
      <c r="D204" s="364"/>
      <c r="E204" s="364"/>
      <c r="F204" s="364"/>
      <c r="G204" s="364" t="s">
        <v>439</v>
      </c>
      <c r="H204" s="364"/>
      <c r="I204" s="364"/>
      <c r="J204" s="314">
        <v>149.9923</v>
      </c>
    </row>
    <row r="205" spans="1:10" x14ac:dyDescent="0.2">
      <c r="A205" s="364"/>
      <c r="B205" s="364"/>
      <c r="C205" s="364"/>
      <c r="D205" s="364"/>
      <c r="E205" s="364"/>
      <c r="F205" s="364"/>
      <c r="G205" s="364" t="s">
        <v>440</v>
      </c>
      <c r="H205" s="364"/>
      <c r="I205" s="364"/>
      <c r="J205" s="314">
        <v>0</v>
      </c>
    </row>
    <row r="206" spans="1:10" x14ac:dyDescent="0.2">
      <c r="A206" s="364"/>
      <c r="B206" s="364"/>
      <c r="C206" s="364"/>
      <c r="D206" s="364"/>
      <c r="E206" s="364"/>
      <c r="F206" s="364"/>
      <c r="G206" s="364" t="s">
        <v>441</v>
      </c>
      <c r="H206" s="364"/>
      <c r="I206" s="364"/>
      <c r="J206" s="314">
        <v>0</v>
      </c>
    </row>
    <row r="207" spans="1:10" x14ac:dyDescent="0.2">
      <c r="A207" s="364"/>
      <c r="B207" s="364"/>
      <c r="C207" s="364"/>
      <c r="D207" s="364"/>
      <c r="E207" s="364"/>
      <c r="F207" s="364"/>
      <c r="G207" s="364" t="s">
        <v>442</v>
      </c>
      <c r="H207" s="364"/>
      <c r="I207" s="364"/>
      <c r="J207" s="314">
        <v>3</v>
      </c>
    </row>
    <row r="208" spans="1:10" ht="15" customHeight="1" x14ac:dyDescent="0.2">
      <c r="A208" s="364"/>
      <c r="B208" s="364"/>
      <c r="C208" s="364"/>
      <c r="D208" s="364"/>
      <c r="E208" s="364"/>
      <c r="F208" s="364"/>
      <c r="G208" s="364" t="s">
        <v>443</v>
      </c>
      <c r="H208" s="364"/>
      <c r="I208" s="364"/>
      <c r="J208" s="314">
        <v>49.997399999999999</v>
      </c>
    </row>
    <row r="209" spans="1:10" ht="15" x14ac:dyDescent="0.2">
      <c r="A209" s="291" t="s">
        <v>738</v>
      </c>
      <c r="B209" s="293" t="s">
        <v>7</v>
      </c>
      <c r="C209" s="291" t="s">
        <v>6</v>
      </c>
      <c r="D209" s="291" t="s">
        <v>739</v>
      </c>
      <c r="E209" s="293" t="s">
        <v>430</v>
      </c>
      <c r="F209" s="293" t="s">
        <v>740</v>
      </c>
      <c r="G209" s="363" t="s">
        <v>741</v>
      </c>
      <c r="H209" s="363"/>
      <c r="I209" s="363"/>
      <c r="J209" s="293" t="s">
        <v>433</v>
      </c>
    </row>
    <row r="210" spans="1:10" ht="25.5" x14ac:dyDescent="0.2">
      <c r="A210" s="300" t="s">
        <v>742</v>
      </c>
      <c r="B210" s="302" t="s">
        <v>119</v>
      </c>
      <c r="C210" s="300">
        <v>5213414</v>
      </c>
      <c r="D210" s="300" t="s">
        <v>917</v>
      </c>
      <c r="E210" s="305">
        <v>0.36</v>
      </c>
      <c r="F210" s="301" t="s">
        <v>21</v>
      </c>
      <c r="G210" s="374">
        <v>412.92</v>
      </c>
      <c r="H210" s="374"/>
      <c r="I210" s="368"/>
      <c r="J210" s="304">
        <v>148.65119999999999</v>
      </c>
    </row>
    <row r="211" spans="1:10" x14ac:dyDescent="0.2">
      <c r="A211" s="364"/>
      <c r="B211" s="364"/>
      <c r="C211" s="364"/>
      <c r="D211" s="364"/>
      <c r="E211" s="364"/>
      <c r="F211" s="364"/>
      <c r="G211" s="364" t="s">
        <v>744</v>
      </c>
      <c r="H211" s="364"/>
      <c r="I211" s="364"/>
      <c r="J211" s="314">
        <v>148.65119999999999</v>
      </c>
    </row>
    <row r="212" spans="1:10" x14ac:dyDescent="0.2">
      <c r="A212" s="317"/>
      <c r="B212" s="317"/>
      <c r="C212" s="317"/>
      <c r="D212" s="317"/>
      <c r="E212" s="317"/>
      <c r="F212" s="318"/>
      <c r="G212" s="317"/>
      <c r="H212" s="318"/>
      <c r="I212" s="317"/>
      <c r="J212" s="318"/>
    </row>
    <row r="213" spans="1:10" ht="15" thickBot="1" x14ac:dyDescent="0.25">
      <c r="A213" s="317"/>
      <c r="B213" s="317"/>
      <c r="C213" s="317"/>
      <c r="D213" s="317"/>
      <c r="E213" s="317" t="s">
        <v>123</v>
      </c>
      <c r="F213" s="318">
        <v>47.08</v>
      </c>
      <c r="G213" s="317"/>
      <c r="H213" s="366" t="s">
        <v>124</v>
      </c>
      <c r="I213" s="366"/>
      <c r="J213" s="318">
        <v>245.73</v>
      </c>
    </row>
    <row r="214" spans="1:10" ht="15" thickTop="1" x14ac:dyDescent="0.2">
      <c r="A214" s="299"/>
      <c r="B214" s="299"/>
      <c r="C214" s="299"/>
      <c r="D214" s="299"/>
      <c r="E214" s="299"/>
      <c r="F214" s="299"/>
      <c r="G214" s="299"/>
      <c r="H214" s="299"/>
      <c r="I214" s="299"/>
      <c r="J214" s="299"/>
    </row>
    <row r="215" spans="1:10" ht="15" customHeight="1" x14ac:dyDescent="0.2">
      <c r="A215" s="291" t="s">
        <v>92</v>
      </c>
      <c r="B215" s="293" t="s">
        <v>6</v>
      </c>
      <c r="C215" s="291" t="s">
        <v>7</v>
      </c>
      <c r="D215" s="291" t="s">
        <v>8</v>
      </c>
      <c r="E215" s="367" t="s">
        <v>114</v>
      </c>
      <c r="F215" s="367"/>
      <c r="G215" s="292" t="s">
        <v>9</v>
      </c>
      <c r="H215" s="293" t="s">
        <v>10</v>
      </c>
      <c r="I215" s="293" t="s">
        <v>11</v>
      </c>
      <c r="J215" s="293" t="s">
        <v>12</v>
      </c>
    </row>
    <row r="216" spans="1:10" ht="25.5" x14ac:dyDescent="0.2">
      <c r="A216" s="294" t="s">
        <v>115</v>
      </c>
      <c r="B216" s="296" t="s">
        <v>1006</v>
      </c>
      <c r="C216" s="294" t="s">
        <v>119</v>
      </c>
      <c r="D216" s="294" t="s">
        <v>875</v>
      </c>
      <c r="E216" s="373" t="s">
        <v>121</v>
      </c>
      <c r="F216" s="373"/>
      <c r="G216" s="295" t="s">
        <v>191</v>
      </c>
      <c r="H216" s="298">
        <v>1</v>
      </c>
      <c r="I216" s="297">
        <v>385.59</v>
      </c>
      <c r="J216" s="297">
        <v>385.59</v>
      </c>
    </row>
    <row r="217" spans="1:10" ht="15" x14ac:dyDescent="0.2">
      <c r="A217" s="367" t="s">
        <v>428</v>
      </c>
      <c r="B217" s="363" t="s">
        <v>6</v>
      </c>
      <c r="C217" s="367" t="s">
        <v>7</v>
      </c>
      <c r="D217" s="367" t="s">
        <v>429</v>
      </c>
      <c r="E217" s="363" t="s">
        <v>430</v>
      </c>
      <c r="F217" s="375" t="s">
        <v>431</v>
      </c>
      <c r="G217" s="363"/>
      <c r="H217" s="375" t="s">
        <v>432</v>
      </c>
      <c r="I217" s="363"/>
      <c r="J217" s="363" t="s">
        <v>433</v>
      </c>
    </row>
    <row r="218" spans="1:10" ht="15" x14ac:dyDescent="0.2">
      <c r="A218" s="363"/>
      <c r="B218" s="363"/>
      <c r="C218" s="363"/>
      <c r="D218" s="363"/>
      <c r="E218" s="363"/>
      <c r="F218" s="293" t="s">
        <v>434</v>
      </c>
      <c r="G218" s="293" t="s">
        <v>435</v>
      </c>
      <c r="H218" s="293" t="s">
        <v>434</v>
      </c>
      <c r="I218" s="293" t="s">
        <v>435</v>
      </c>
      <c r="J218" s="363"/>
    </row>
    <row r="219" spans="1:10" x14ac:dyDescent="0.2">
      <c r="A219" s="306" t="s">
        <v>130</v>
      </c>
      <c r="B219" s="308" t="s">
        <v>913</v>
      </c>
      <c r="C219" s="306" t="s">
        <v>119</v>
      </c>
      <c r="D219" s="306" t="s">
        <v>914</v>
      </c>
      <c r="E219" s="311">
        <v>1</v>
      </c>
      <c r="F219" s="309">
        <v>0.3</v>
      </c>
      <c r="G219" s="309">
        <v>0.7</v>
      </c>
      <c r="H219" s="310">
        <v>151.2953</v>
      </c>
      <c r="I219" s="310">
        <v>56.024700000000003</v>
      </c>
      <c r="J219" s="310">
        <v>84.605900000000005</v>
      </c>
    </row>
    <row r="220" spans="1:10" x14ac:dyDescent="0.2">
      <c r="A220" s="364"/>
      <c r="B220" s="364"/>
      <c r="C220" s="364"/>
      <c r="D220" s="364"/>
      <c r="E220" s="364"/>
      <c r="F220" s="364"/>
      <c r="G220" s="364" t="s">
        <v>438</v>
      </c>
      <c r="H220" s="364"/>
      <c r="I220" s="364"/>
      <c r="J220" s="314">
        <v>84.605900000000005</v>
      </c>
    </row>
    <row r="221" spans="1:10" ht="15" x14ac:dyDescent="0.2">
      <c r="A221" s="291" t="s">
        <v>724</v>
      </c>
      <c r="B221" s="293" t="s">
        <v>6</v>
      </c>
      <c r="C221" s="291" t="s">
        <v>7</v>
      </c>
      <c r="D221" s="291" t="s">
        <v>160</v>
      </c>
      <c r="E221" s="293" t="s">
        <v>430</v>
      </c>
      <c r="F221" s="363" t="s">
        <v>725</v>
      </c>
      <c r="G221" s="363"/>
      <c r="H221" s="363"/>
      <c r="I221" s="363"/>
      <c r="J221" s="293" t="s">
        <v>433</v>
      </c>
    </row>
    <row r="222" spans="1:10" x14ac:dyDescent="0.2">
      <c r="A222" s="306" t="s">
        <v>130</v>
      </c>
      <c r="B222" s="308" t="s">
        <v>915</v>
      </c>
      <c r="C222" s="306" t="s">
        <v>119</v>
      </c>
      <c r="D222" s="306" t="s">
        <v>916</v>
      </c>
      <c r="E222" s="311">
        <v>1</v>
      </c>
      <c r="F222" s="306"/>
      <c r="G222" s="306"/>
      <c r="H222" s="306"/>
      <c r="I222" s="310">
        <v>27.5366</v>
      </c>
      <c r="J222" s="310">
        <v>27.5366</v>
      </c>
    </row>
    <row r="223" spans="1:10" x14ac:dyDescent="0.2">
      <c r="A223" s="306" t="s">
        <v>130</v>
      </c>
      <c r="B223" s="308" t="s">
        <v>726</v>
      </c>
      <c r="C223" s="306" t="s">
        <v>119</v>
      </c>
      <c r="D223" s="306" t="s">
        <v>727</v>
      </c>
      <c r="E223" s="311">
        <v>1</v>
      </c>
      <c r="F223" s="306"/>
      <c r="G223" s="306"/>
      <c r="H223" s="306"/>
      <c r="I223" s="310">
        <v>18.924900000000001</v>
      </c>
      <c r="J223" s="310">
        <v>18.924900000000001</v>
      </c>
    </row>
    <row r="224" spans="1:10" x14ac:dyDescent="0.2">
      <c r="A224" s="364"/>
      <c r="B224" s="364"/>
      <c r="C224" s="364"/>
      <c r="D224" s="364"/>
      <c r="E224" s="364"/>
      <c r="F224" s="364"/>
      <c r="G224" s="364" t="s">
        <v>728</v>
      </c>
      <c r="H224" s="364"/>
      <c r="I224" s="364"/>
      <c r="J224" s="314">
        <v>46.461500000000001</v>
      </c>
    </row>
    <row r="225" spans="1:10" x14ac:dyDescent="0.2">
      <c r="A225" s="364"/>
      <c r="B225" s="364"/>
      <c r="C225" s="364"/>
      <c r="D225" s="364"/>
      <c r="E225" s="364"/>
      <c r="F225" s="364"/>
      <c r="G225" s="364" t="s">
        <v>729</v>
      </c>
      <c r="H225" s="364"/>
      <c r="I225" s="364"/>
      <c r="J225" s="314">
        <v>0</v>
      </c>
    </row>
    <row r="226" spans="1:10" ht="15" customHeight="1" x14ac:dyDescent="0.2">
      <c r="A226" s="364"/>
      <c r="B226" s="364"/>
      <c r="C226" s="364"/>
      <c r="D226" s="364"/>
      <c r="E226" s="364"/>
      <c r="F226" s="364"/>
      <c r="G226" s="364" t="s">
        <v>439</v>
      </c>
      <c r="H226" s="364"/>
      <c r="I226" s="364"/>
      <c r="J226" s="314">
        <v>131.06739999999999</v>
      </c>
    </row>
    <row r="227" spans="1:10" x14ac:dyDescent="0.2">
      <c r="A227" s="364"/>
      <c r="B227" s="364"/>
      <c r="C227" s="364"/>
      <c r="D227" s="364"/>
      <c r="E227" s="364"/>
      <c r="F227" s="364"/>
      <c r="G227" s="364" t="s">
        <v>440</v>
      </c>
      <c r="H227" s="364"/>
      <c r="I227" s="364"/>
      <c r="J227" s="314">
        <v>0</v>
      </c>
    </row>
    <row r="228" spans="1:10" x14ac:dyDescent="0.2">
      <c r="A228" s="364"/>
      <c r="B228" s="364"/>
      <c r="C228" s="364"/>
      <c r="D228" s="364"/>
      <c r="E228" s="364"/>
      <c r="F228" s="364"/>
      <c r="G228" s="364" t="s">
        <v>441</v>
      </c>
      <c r="H228" s="364"/>
      <c r="I228" s="364"/>
      <c r="J228" s="314">
        <v>0</v>
      </c>
    </row>
    <row r="229" spans="1:10" x14ac:dyDescent="0.2">
      <c r="A229" s="364"/>
      <c r="B229" s="364"/>
      <c r="C229" s="364"/>
      <c r="D229" s="364"/>
      <c r="E229" s="364"/>
      <c r="F229" s="364"/>
      <c r="G229" s="364" t="s">
        <v>442</v>
      </c>
      <c r="H229" s="364"/>
      <c r="I229" s="364"/>
      <c r="J229" s="314">
        <v>4.0999999999999996</v>
      </c>
    </row>
    <row r="230" spans="1:10" x14ac:dyDescent="0.2">
      <c r="A230" s="364"/>
      <c r="B230" s="364"/>
      <c r="C230" s="364"/>
      <c r="D230" s="364"/>
      <c r="E230" s="364"/>
      <c r="F230" s="364"/>
      <c r="G230" s="364" t="s">
        <v>443</v>
      </c>
      <c r="H230" s="364"/>
      <c r="I230" s="364"/>
      <c r="J230" s="314">
        <v>31.967700000000001</v>
      </c>
    </row>
    <row r="231" spans="1:10" ht="15" x14ac:dyDescent="0.2">
      <c r="A231" s="291" t="s">
        <v>801</v>
      </c>
      <c r="B231" s="293" t="s">
        <v>7</v>
      </c>
      <c r="C231" s="291" t="s">
        <v>6</v>
      </c>
      <c r="D231" s="291" t="s">
        <v>61</v>
      </c>
      <c r="E231" s="293" t="s">
        <v>430</v>
      </c>
      <c r="F231" s="293" t="s">
        <v>740</v>
      </c>
      <c r="G231" s="363" t="s">
        <v>741</v>
      </c>
      <c r="H231" s="363"/>
      <c r="I231" s="363"/>
      <c r="J231" s="293" t="s">
        <v>433</v>
      </c>
    </row>
    <row r="232" spans="1:10" ht="25.5" x14ac:dyDescent="0.2">
      <c r="A232" s="306" t="s">
        <v>130</v>
      </c>
      <c r="B232" s="308" t="s">
        <v>119</v>
      </c>
      <c r="C232" s="306" t="s">
        <v>918</v>
      </c>
      <c r="D232" s="306" t="s">
        <v>919</v>
      </c>
      <c r="E232" s="311">
        <v>0.69621999999999995</v>
      </c>
      <c r="F232" s="307" t="s">
        <v>810</v>
      </c>
      <c r="G232" s="376">
        <v>21.728899999999999</v>
      </c>
      <c r="H232" s="376"/>
      <c r="I232" s="365"/>
      <c r="J232" s="310">
        <v>15.1281</v>
      </c>
    </row>
    <row r="233" spans="1:10" x14ac:dyDescent="0.2">
      <c r="A233" s="306" t="s">
        <v>130</v>
      </c>
      <c r="B233" s="308" t="s">
        <v>119</v>
      </c>
      <c r="C233" s="306" t="s">
        <v>920</v>
      </c>
      <c r="D233" s="306" t="s">
        <v>921</v>
      </c>
      <c r="E233" s="311">
        <v>12.717000000000001</v>
      </c>
      <c r="F233" s="307" t="s">
        <v>810</v>
      </c>
      <c r="G233" s="376">
        <v>24.592099999999999</v>
      </c>
      <c r="H233" s="376"/>
      <c r="I233" s="365"/>
      <c r="J233" s="310">
        <v>312.73770000000002</v>
      </c>
    </row>
    <row r="234" spans="1:10" x14ac:dyDescent="0.2">
      <c r="A234" s="364"/>
      <c r="B234" s="364"/>
      <c r="C234" s="364"/>
      <c r="D234" s="364"/>
      <c r="E234" s="364"/>
      <c r="F234" s="364"/>
      <c r="G234" s="364" t="s">
        <v>816</v>
      </c>
      <c r="H234" s="364"/>
      <c r="I234" s="364"/>
      <c r="J234" s="314">
        <v>327.86579999999998</v>
      </c>
    </row>
    <row r="235" spans="1:10" ht="15" x14ac:dyDescent="0.2">
      <c r="A235" s="291" t="s">
        <v>738</v>
      </c>
      <c r="B235" s="293" t="s">
        <v>7</v>
      </c>
      <c r="C235" s="291" t="s">
        <v>6</v>
      </c>
      <c r="D235" s="291" t="s">
        <v>739</v>
      </c>
      <c r="E235" s="293" t="s">
        <v>430</v>
      </c>
      <c r="F235" s="293" t="s">
        <v>740</v>
      </c>
      <c r="G235" s="363" t="s">
        <v>741</v>
      </c>
      <c r="H235" s="363"/>
      <c r="I235" s="363"/>
      <c r="J235" s="293" t="s">
        <v>433</v>
      </c>
    </row>
    <row r="236" spans="1:10" ht="26.25" customHeight="1" x14ac:dyDescent="0.2">
      <c r="A236" s="300" t="s">
        <v>742</v>
      </c>
      <c r="B236" s="302" t="s">
        <v>119</v>
      </c>
      <c r="C236" s="300">
        <v>1107892</v>
      </c>
      <c r="D236" s="300" t="s">
        <v>922</v>
      </c>
      <c r="E236" s="305">
        <v>5.0299999999999997E-2</v>
      </c>
      <c r="F236" s="301" t="s">
        <v>49</v>
      </c>
      <c r="G236" s="374">
        <v>464.84</v>
      </c>
      <c r="H236" s="374"/>
      <c r="I236" s="368"/>
      <c r="J236" s="304">
        <v>23.381499999999999</v>
      </c>
    </row>
    <row r="237" spans="1:10" ht="25.5" x14ac:dyDescent="0.2">
      <c r="A237" s="300" t="s">
        <v>742</v>
      </c>
      <c r="B237" s="302" t="s">
        <v>119</v>
      </c>
      <c r="C237" s="300">
        <v>4805750</v>
      </c>
      <c r="D237" s="300" t="s">
        <v>923</v>
      </c>
      <c r="E237" s="305">
        <v>5.0299999999999997E-2</v>
      </c>
      <c r="F237" s="301" t="s">
        <v>49</v>
      </c>
      <c r="G237" s="374">
        <v>38.39</v>
      </c>
      <c r="H237" s="374"/>
      <c r="I237" s="368"/>
      <c r="J237" s="304">
        <v>1.931</v>
      </c>
    </row>
    <row r="238" spans="1:10" x14ac:dyDescent="0.2">
      <c r="A238" s="364"/>
      <c r="B238" s="364"/>
      <c r="C238" s="364"/>
      <c r="D238" s="364"/>
      <c r="E238" s="364"/>
      <c r="F238" s="364"/>
      <c r="G238" s="364" t="s">
        <v>744</v>
      </c>
      <c r="H238" s="364"/>
      <c r="I238" s="364"/>
      <c r="J238" s="314">
        <v>25.3125</v>
      </c>
    </row>
    <row r="239" spans="1:10" ht="15" x14ac:dyDescent="0.2">
      <c r="A239" s="291" t="s">
        <v>745</v>
      </c>
      <c r="B239" s="293" t="s">
        <v>7</v>
      </c>
      <c r="C239" s="291" t="s">
        <v>130</v>
      </c>
      <c r="D239" s="291" t="s">
        <v>746</v>
      </c>
      <c r="E239" s="293" t="s">
        <v>6</v>
      </c>
      <c r="F239" s="293" t="s">
        <v>430</v>
      </c>
      <c r="G239" s="292" t="s">
        <v>740</v>
      </c>
      <c r="H239" s="363" t="s">
        <v>741</v>
      </c>
      <c r="I239" s="363"/>
      <c r="J239" s="293" t="s">
        <v>433</v>
      </c>
    </row>
    <row r="240" spans="1:10" ht="25.5" x14ac:dyDescent="0.2">
      <c r="A240" s="300" t="s">
        <v>747</v>
      </c>
      <c r="B240" s="302" t="s">
        <v>119</v>
      </c>
      <c r="C240" s="300" t="s">
        <v>918</v>
      </c>
      <c r="D240" s="300" t="s">
        <v>924</v>
      </c>
      <c r="E240" s="302">
        <v>5914655</v>
      </c>
      <c r="F240" s="305">
        <v>6.9999999999999999E-4</v>
      </c>
      <c r="G240" s="301" t="s">
        <v>98</v>
      </c>
      <c r="H240" s="374">
        <v>33.08</v>
      </c>
      <c r="I240" s="368"/>
      <c r="J240" s="304">
        <v>2.3199999999999998E-2</v>
      </c>
    </row>
    <row r="241" spans="1:10" ht="25.5" x14ac:dyDescent="0.2">
      <c r="A241" s="300" t="s">
        <v>747</v>
      </c>
      <c r="B241" s="302" t="s">
        <v>119</v>
      </c>
      <c r="C241" s="300" t="s">
        <v>920</v>
      </c>
      <c r="D241" s="300" t="s">
        <v>924</v>
      </c>
      <c r="E241" s="302">
        <v>5914655</v>
      </c>
      <c r="F241" s="305">
        <v>1.272E-2</v>
      </c>
      <c r="G241" s="301" t="s">
        <v>98</v>
      </c>
      <c r="H241" s="374">
        <v>33.08</v>
      </c>
      <c r="I241" s="368"/>
      <c r="J241" s="304">
        <v>0.42080000000000001</v>
      </c>
    </row>
    <row r="242" spans="1:10" x14ac:dyDescent="0.2">
      <c r="A242" s="364"/>
      <c r="B242" s="364"/>
      <c r="C242" s="364"/>
      <c r="D242" s="364"/>
      <c r="E242" s="364"/>
      <c r="F242" s="364"/>
      <c r="G242" s="364" t="s">
        <v>749</v>
      </c>
      <c r="H242" s="364"/>
      <c r="I242" s="364"/>
      <c r="J242" s="314">
        <v>0.44400000000000001</v>
      </c>
    </row>
    <row r="243" spans="1:10" ht="15" x14ac:dyDescent="0.2">
      <c r="A243" s="291" t="s">
        <v>750</v>
      </c>
      <c r="B243" s="293" t="s">
        <v>7</v>
      </c>
      <c r="C243" s="291" t="s">
        <v>130</v>
      </c>
      <c r="D243" s="291" t="s">
        <v>751</v>
      </c>
      <c r="E243" s="293" t="s">
        <v>430</v>
      </c>
      <c r="F243" s="293" t="s">
        <v>740</v>
      </c>
      <c r="G243" s="375" t="s">
        <v>752</v>
      </c>
      <c r="H243" s="363"/>
      <c r="I243" s="363"/>
      <c r="J243" s="293" t="s">
        <v>433</v>
      </c>
    </row>
    <row r="244" spans="1:10" ht="15" x14ac:dyDescent="0.2">
      <c r="A244" s="292"/>
      <c r="B244" s="292"/>
      <c r="C244" s="292"/>
      <c r="D244" s="292"/>
      <c r="E244" s="292"/>
      <c r="F244" s="292"/>
      <c r="G244" s="292" t="s">
        <v>753</v>
      </c>
      <c r="H244" s="292" t="s">
        <v>754</v>
      </c>
      <c r="I244" s="292" t="s">
        <v>755</v>
      </c>
      <c r="J244" s="292"/>
    </row>
    <row r="245" spans="1:10" ht="38.25" x14ac:dyDescent="0.2">
      <c r="A245" s="300" t="s">
        <v>751</v>
      </c>
      <c r="B245" s="302" t="s">
        <v>119</v>
      </c>
      <c r="C245" s="300" t="s">
        <v>918</v>
      </c>
      <c r="D245" s="300" t="s">
        <v>925</v>
      </c>
      <c r="E245" s="305">
        <v>6.9999999999999999E-4</v>
      </c>
      <c r="F245" s="301" t="s">
        <v>122</v>
      </c>
      <c r="G245" s="302" t="s">
        <v>926</v>
      </c>
      <c r="H245" s="302" t="s">
        <v>927</v>
      </c>
      <c r="I245" s="302" t="s">
        <v>928</v>
      </c>
      <c r="J245" s="304">
        <v>0</v>
      </c>
    </row>
    <row r="246" spans="1:10" ht="38.25" x14ac:dyDescent="0.2">
      <c r="A246" s="300" t="s">
        <v>751</v>
      </c>
      <c r="B246" s="302" t="s">
        <v>119</v>
      </c>
      <c r="C246" s="300" t="s">
        <v>920</v>
      </c>
      <c r="D246" s="300" t="s">
        <v>929</v>
      </c>
      <c r="E246" s="305">
        <v>1.272E-2</v>
      </c>
      <c r="F246" s="301" t="s">
        <v>122</v>
      </c>
      <c r="G246" s="302" t="s">
        <v>926</v>
      </c>
      <c r="H246" s="302" t="s">
        <v>927</v>
      </c>
      <c r="I246" s="302" t="s">
        <v>928</v>
      </c>
      <c r="J246" s="304">
        <v>0</v>
      </c>
    </row>
    <row r="247" spans="1:10" x14ac:dyDescent="0.2">
      <c r="A247" s="364"/>
      <c r="B247" s="364"/>
      <c r="C247" s="364"/>
      <c r="D247" s="364"/>
      <c r="E247" s="364"/>
      <c r="F247" s="364"/>
      <c r="G247" s="364" t="s">
        <v>760</v>
      </c>
      <c r="H247" s="364"/>
      <c r="I247" s="364"/>
      <c r="J247" s="314">
        <v>0</v>
      </c>
    </row>
    <row r="248" spans="1:10" x14ac:dyDescent="0.2">
      <c r="A248" s="317"/>
      <c r="B248" s="317"/>
      <c r="C248" s="317"/>
      <c r="D248" s="317"/>
      <c r="E248" s="317"/>
      <c r="F248" s="318"/>
      <c r="G248" s="317"/>
      <c r="H248" s="318"/>
      <c r="I248" s="317"/>
      <c r="J248" s="318"/>
    </row>
    <row r="249" spans="1:10" ht="15" thickBot="1" x14ac:dyDescent="0.25">
      <c r="A249" s="317"/>
      <c r="B249" s="317"/>
      <c r="C249" s="317"/>
      <c r="D249" s="317"/>
      <c r="E249" s="317" t="s">
        <v>123</v>
      </c>
      <c r="F249" s="318">
        <v>91.38</v>
      </c>
      <c r="G249" s="317"/>
      <c r="H249" s="366" t="s">
        <v>124</v>
      </c>
      <c r="I249" s="366"/>
      <c r="J249" s="318">
        <v>476.97</v>
      </c>
    </row>
    <row r="250" spans="1:10" ht="15" thickTop="1" x14ac:dyDescent="0.2">
      <c r="A250" s="299"/>
      <c r="B250" s="299"/>
      <c r="C250" s="299"/>
      <c r="D250" s="299"/>
      <c r="E250" s="299"/>
      <c r="F250" s="299"/>
      <c r="G250" s="299"/>
      <c r="H250" s="299"/>
      <c r="I250" s="299"/>
      <c r="J250" s="299"/>
    </row>
    <row r="251" spans="1:10" ht="15" x14ac:dyDescent="0.2">
      <c r="A251" s="291" t="s">
        <v>94</v>
      </c>
      <c r="B251" s="293" t="s">
        <v>6</v>
      </c>
      <c r="C251" s="291" t="s">
        <v>7</v>
      </c>
      <c r="D251" s="291" t="s">
        <v>8</v>
      </c>
      <c r="E251" s="367" t="s">
        <v>114</v>
      </c>
      <c r="F251" s="367"/>
      <c r="G251" s="292" t="s">
        <v>9</v>
      </c>
      <c r="H251" s="293" t="s">
        <v>10</v>
      </c>
      <c r="I251" s="293" t="s">
        <v>11</v>
      </c>
      <c r="J251" s="293" t="s">
        <v>12</v>
      </c>
    </row>
    <row r="252" spans="1:10" x14ac:dyDescent="0.2">
      <c r="A252" s="294" t="s">
        <v>115</v>
      </c>
      <c r="B252" s="296" t="s">
        <v>1007</v>
      </c>
      <c r="C252" s="294" t="s">
        <v>119</v>
      </c>
      <c r="D252" s="294" t="s">
        <v>876</v>
      </c>
      <c r="E252" s="373" t="s">
        <v>121</v>
      </c>
      <c r="F252" s="373"/>
      <c r="G252" s="295" t="s">
        <v>21</v>
      </c>
      <c r="H252" s="298">
        <v>1</v>
      </c>
      <c r="I252" s="297">
        <v>24.97</v>
      </c>
      <c r="J252" s="297">
        <v>24.97</v>
      </c>
    </row>
    <row r="253" spans="1:10" ht="15" x14ac:dyDescent="0.2">
      <c r="A253" s="367" t="s">
        <v>428</v>
      </c>
      <c r="B253" s="363" t="s">
        <v>6</v>
      </c>
      <c r="C253" s="367" t="s">
        <v>7</v>
      </c>
      <c r="D253" s="367" t="s">
        <v>429</v>
      </c>
      <c r="E253" s="363" t="s">
        <v>430</v>
      </c>
      <c r="F253" s="375" t="s">
        <v>431</v>
      </c>
      <c r="G253" s="363"/>
      <c r="H253" s="375" t="s">
        <v>432</v>
      </c>
      <c r="I253" s="363"/>
      <c r="J253" s="363" t="s">
        <v>433</v>
      </c>
    </row>
    <row r="254" spans="1:10" ht="15" customHeight="1" x14ac:dyDescent="0.2">
      <c r="A254" s="363"/>
      <c r="B254" s="363"/>
      <c r="C254" s="363"/>
      <c r="D254" s="363"/>
      <c r="E254" s="363"/>
      <c r="F254" s="293" t="s">
        <v>434</v>
      </c>
      <c r="G254" s="293" t="s">
        <v>435</v>
      </c>
      <c r="H254" s="293" t="s">
        <v>434</v>
      </c>
      <c r="I254" s="293" t="s">
        <v>435</v>
      </c>
      <c r="J254" s="363"/>
    </row>
    <row r="255" spans="1:10" x14ac:dyDescent="0.2">
      <c r="A255" s="306" t="s">
        <v>130</v>
      </c>
      <c r="B255" s="308" t="s">
        <v>930</v>
      </c>
      <c r="C255" s="306" t="s">
        <v>119</v>
      </c>
      <c r="D255" s="306" t="s">
        <v>931</v>
      </c>
      <c r="E255" s="311">
        <v>1</v>
      </c>
      <c r="F255" s="309">
        <v>1</v>
      </c>
      <c r="G255" s="309">
        <v>0</v>
      </c>
      <c r="H255" s="310">
        <v>388.72559999999999</v>
      </c>
      <c r="I255" s="310">
        <v>155.9486</v>
      </c>
      <c r="J255" s="310">
        <v>388.72559999999999</v>
      </c>
    </row>
    <row r="256" spans="1:10" x14ac:dyDescent="0.2">
      <c r="A256" s="364"/>
      <c r="B256" s="364"/>
      <c r="C256" s="364"/>
      <c r="D256" s="364"/>
      <c r="E256" s="364"/>
      <c r="F256" s="364"/>
      <c r="G256" s="364" t="s">
        <v>438</v>
      </c>
      <c r="H256" s="364"/>
      <c r="I256" s="364"/>
      <c r="J256" s="314">
        <v>388.72559999999999</v>
      </c>
    </row>
    <row r="257" spans="1:10" ht="15" x14ac:dyDescent="0.2">
      <c r="A257" s="291" t="s">
        <v>724</v>
      </c>
      <c r="B257" s="293" t="s">
        <v>6</v>
      </c>
      <c r="C257" s="291" t="s">
        <v>7</v>
      </c>
      <c r="D257" s="291" t="s">
        <v>160</v>
      </c>
      <c r="E257" s="293" t="s">
        <v>430</v>
      </c>
      <c r="F257" s="363" t="s">
        <v>725</v>
      </c>
      <c r="G257" s="363"/>
      <c r="H257" s="363"/>
      <c r="I257" s="363"/>
      <c r="J257" s="293" t="s">
        <v>433</v>
      </c>
    </row>
    <row r="258" spans="1:10" x14ac:dyDescent="0.2">
      <c r="A258" s="306" t="s">
        <v>130</v>
      </c>
      <c r="B258" s="308" t="s">
        <v>932</v>
      </c>
      <c r="C258" s="306" t="s">
        <v>119</v>
      </c>
      <c r="D258" s="306" t="s">
        <v>933</v>
      </c>
      <c r="E258" s="311">
        <v>1</v>
      </c>
      <c r="F258" s="306"/>
      <c r="G258" s="306"/>
      <c r="H258" s="306"/>
      <c r="I258" s="310">
        <v>19.922699999999999</v>
      </c>
      <c r="J258" s="310">
        <v>19.922699999999999</v>
      </c>
    </row>
    <row r="259" spans="1:10" x14ac:dyDescent="0.2">
      <c r="A259" s="306" t="s">
        <v>130</v>
      </c>
      <c r="B259" s="308" t="s">
        <v>726</v>
      </c>
      <c r="C259" s="306" t="s">
        <v>119</v>
      </c>
      <c r="D259" s="306" t="s">
        <v>727</v>
      </c>
      <c r="E259" s="311">
        <v>4</v>
      </c>
      <c r="F259" s="306"/>
      <c r="G259" s="306"/>
      <c r="H259" s="306"/>
      <c r="I259" s="310">
        <v>18.924900000000001</v>
      </c>
      <c r="J259" s="310">
        <v>75.699600000000004</v>
      </c>
    </row>
    <row r="260" spans="1:10" x14ac:dyDescent="0.2">
      <c r="A260" s="364"/>
      <c r="B260" s="364"/>
      <c r="C260" s="364"/>
      <c r="D260" s="364"/>
      <c r="E260" s="364"/>
      <c r="F260" s="364"/>
      <c r="G260" s="364" t="s">
        <v>728</v>
      </c>
      <c r="H260" s="364"/>
      <c r="I260" s="364"/>
      <c r="J260" s="314">
        <v>95.622299999999996</v>
      </c>
    </row>
    <row r="261" spans="1:10" x14ac:dyDescent="0.2">
      <c r="A261" s="364"/>
      <c r="B261" s="364"/>
      <c r="C261" s="364"/>
      <c r="D261" s="364"/>
      <c r="E261" s="364"/>
      <c r="F261" s="364"/>
      <c r="G261" s="364" t="s">
        <v>729</v>
      </c>
      <c r="H261" s="364"/>
      <c r="I261" s="364"/>
      <c r="J261" s="314">
        <v>0</v>
      </c>
    </row>
    <row r="262" spans="1:10" x14ac:dyDescent="0.2">
      <c r="A262" s="364"/>
      <c r="B262" s="364"/>
      <c r="C262" s="364"/>
      <c r="D262" s="364"/>
      <c r="E262" s="364"/>
      <c r="F262" s="364"/>
      <c r="G262" s="364" t="s">
        <v>439</v>
      </c>
      <c r="H262" s="364"/>
      <c r="I262" s="364"/>
      <c r="J262" s="314">
        <v>484.34789999999998</v>
      </c>
    </row>
    <row r="263" spans="1:10" x14ac:dyDescent="0.2">
      <c r="A263" s="364"/>
      <c r="B263" s="364"/>
      <c r="C263" s="364"/>
      <c r="D263" s="364"/>
      <c r="E263" s="364"/>
      <c r="F263" s="364"/>
      <c r="G263" s="364" t="s">
        <v>440</v>
      </c>
      <c r="H263" s="364"/>
      <c r="I263" s="364"/>
      <c r="J263" s="314">
        <v>0</v>
      </c>
    </row>
    <row r="264" spans="1:10" x14ac:dyDescent="0.2">
      <c r="A264" s="364"/>
      <c r="B264" s="364"/>
      <c r="C264" s="364"/>
      <c r="D264" s="364"/>
      <c r="E264" s="364"/>
      <c r="F264" s="364"/>
      <c r="G264" s="364" t="s">
        <v>441</v>
      </c>
      <c r="H264" s="364"/>
      <c r="I264" s="364"/>
      <c r="J264" s="314">
        <v>0</v>
      </c>
    </row>
    <row r="265" spans="1:10" x14ac:dyDescent="0.2">
      <c r="A265" s="364"/>
      <c r="B265" s="364"/>
      <c r="C265" s="364"/>
      <c r="D265" s="364"/>
      <c r="E265" s="364"/>
      <c r="F265" s="364"/>
      <c r="G265" s="364" t="s">
        <v>442</v>
      </c>
      <c r="H265" s="364"/>
      <c r="I265" s="364"/>
      <c r="J265" s="314">
        <v>177.07</v>
      </c>
    </row>
    <row r="266" spans="1:10" x14ac:dyDescent="0.2">
      <c r="A266" s="364"/>
      <c r="B266" s="364"/>
      <c r="C266" s="364"/>
      <c r="D266" s="364"/>
      <c r="E266" s="364"/>
      <c r="F266" s="364"/>
      <c r="G266" s="364" t="s">
        <v>443</v>
      </c>
      <c r="H266" s="364"/>
      <c r="I266" s="364"/>
      <c r="J266" s="314">
        <v>2.7353000000000001</v>
      </c>
    </row>
    <row r="267" spans="1:10" ht="15" x14ac:dyDescent="0.2">
      <c r="A267" s="291" t="s">
        <v>801</v>
      </c>
      <c r="B267" s="293" t="s">
        <v>7</v>
      </c>
      <c r="C267" s="291" t="s">
        <v>6</v>
      </c>
      <c r="D267" s="291" t="s">
        <v>61</v>
      </c>
      <c r="E267" s="293" t="s">
        <v>430</v>
      </c>
      <c r="F267" s="293" t="s">
        <v>740</v>
      </c>
      <c r="G267" s="363" t="s">
        <v>741</v>
      </c>
      <c r="H267" s="363"/>
      <c r="I267" s="363"/>
      <c r="J267" s="293" t="s">
        <v>433</v>
      </c>
    </row>
    <row r="268" spans="1:10" x14ac:dyDescent="0.2">
      <c r="A268" s="306" t="s">
        <v>130</v>
      </c>
      <c r="B268" s="308" t="s">
        <v>119</v>
      </c>
      <c r="C268" s="306" t="s">
        <v>934</v>
      </c>
      <c r="D268" s="306" t="s">
        <v>935</v>
      </c>
      <c r="E268" s="311">
        <v>0.08</v>
      </c>
      <c r="F268" s="307" t="s">
        <v>810</v>
      </c>
      <c r="G268" s="376">
        <v>8.0071999999999992</v>
      </c>
      <c r="H268" s="376"/>
      <c r="I268" s="365"/>
      <c r="J268" s="310">
        <v>0.64059999999999995</v>
      </c>
    </row>
    <row r="269" spans="1:10" ht="15" customHeight="1" x14ac:dyDescent="0.2">
      <c r="A269" s="306" t="s">
        <v>130</v>
      </c>
      <c r="B269" s="308" t="s">
        <v>119</v>
      </c>
      <c r="C269" s="306" t="s">
        <v>936</v>
      </c>
      <c r="D269" s="306" t="s">
        <v>937</v>
      </c>
      <c r="E269" s="311">
        <v>0.35</v>
      </c>
      <c r="F269" s="307" t="s">
        <v>810</v>
      </c>
      <c r="G269" s="376">
        <v>8.6719000000000008</v>
      </c>
      <c r="H269" s="376"/>
      <c r="I269" s="365"/>
      <c r="J269" s="310">
        <v>3.0352000000000001</v>
      </c>
    </row>
    <row r="270" spans="1:10" x14ac:dyDescent="0.2">
      <c r="A270" s="306" t="s">
        <v>130</v>
      </c>
      <c r="B270" s="308" t="s">
        <v>119</v>
      </c>
      <c r="C270" s="306" t="s">
        <v>938</v>
      </c>
      <c r="D270" s="306" t="s">
        <v>939</v>
      </c>
      <c r="E270" s="311">
        <v>0.02</v>
      </c>
      <c r="F270" s="307" t="s">
        <v>813</v>
      </c>
      <c r="G270" s="376">
        <v>12.7018</v>
      </c>
      <c r="H270" s="376"/>
      <c r="I270" s="365"/>
      <c r="J270" s="310">
        <v>0.254</v>
      </c>
    </row>
    <row r="271" spans="1:10" x14ac:dyDescent="0.2">
      <c r="A271" s="306" t="s">
        <v>130</v>
      </c>
      <c r="B271" s="308" t="s">
        <v>119</v>
      </c>
      <c r="C271" s="306" t="s">
        <v>940</v>
      </c>
      <c r="D271" s="306" t="s">
        <v>941</v>
      </c>
      <c r="E271" s="311">
        <v>9.7000000000000005E-4</v>
      </c>
      <c r="F271" s="307" t="s">
        <v>813</v>
      </c>
      <c r="G271" s="376">
        <v>19.4467</v>
      </c>
      <c r="H271" s="376"/>
      <c r="I271" s="365"/>
      <c r="J271" s="310">
        <v>1.89E-2</v>
      </c>
    </row>
    <row r="272" spans="1:10" x14ac:dyDescent="0.2">
      <c r="A272" s="306" t="s">
        <v>130</v>
      </c>
      <c r="B272" s="308" t="s">
        <v>119</v>
      </c>
      <c r="C272" s="306" t="s">
        <v>942</v>
      </c>
      <c r="D272" s="306" t="s">
        <v>943</v>
      </c>
      <c r="E272" s="311">
        <v>0.4</v>
      </c>
      <c r="F272" s="307" t="s">
        <v>813</v>
      </c>
      <c r="G272" s="376">
        <v>45.620600000000003</v>
      </c>
      <c r="H272" s="376"/>
      <c r="I272" s="365"/>
      <c r="J272" s="310">
        <v>18.248200000000001</v>
      </c>
    </row>
    <row r="273" spans="1:10" x14ac:dyDescent="0.2">
      <c r="A273" s="364"/>
      <c r="B273" s="364"/>
      <c r="C273" s="364"/>
      <c r="D273" s="364"/>
      <c r="E273" s="364"/>
      <c r="F273" s="364"/>
      <c r="G273" s="364" t="s">
        <v>816</v>
      </c>
      <c r="H273" s="364"/>
      <c r="I273" s="364"/>
      <c r="J273" s="314">
        <v>22.196899999999999</v>
      </c>
    </row>
    <row r="274" spans="1:10" ht="15" x14ac:dyDescent="0.2">
      <c r="A274" s="291" t="s">
        <v>745</v>
      </c>
      <c r="B274" s="293" t="s">
        <v>7</v>
      </c>
      <c r="C274" s="291" t="s">
        <v>130</v>
      </c>
      <c r="D274" s="291" t="s">
        <v>746</v>
      </c>
      <c r="E274" s="293" t="s">
        <v>6</v>
      </c>
      <c r="F274" s="293" t="s">
        <v>430</v>
      </c>
      <c r="G274" s="292" t="s">
        <v>740</v>
      </c>
      <c r="H274" s="363" t="s">
        <v>741</v>
      </c>
      <c r="I274" s="363"/>
      <c r="J274" s="293" t="s">
        <v>433</v>
      </c>
    </row>
    <row r="275" spans="1:10" ht="25.5" x14ac:dyDescent="0.2">
      <c r="A275" s="300" t="s">
        <v>747</v>
      </c>
      <c r="B275" s="302" t="s">
        <v>119</v>
      </c>
      <c r="C275" s="300" t="s">
        <v>934</v>
      </c>
      <c r="D275" s="300" t="s">
        <v>924</v>
      </c>
      <c r="E275" s="302">
        <v>5914655</v>
      </c>
      <c r="F275" s="305">
        <v>8.0000000000000007E-5</v>
      </c>
      <c r="G275" s="301" t="s">
        <v>98</v>
      </c>
      <c r="H275" s="374">
        <v>33.08</v>
      </c>
      <c r="I275" s="368"/>
      <c r="J275" s="304">
        <v>2.5999999999999999E-3</v>
      </c>
    </row>
    <row r="276" spans="1:10" ht="25.5" x14ac:dyDescent="0.2">
      <c r="A276" s="300" t="s">
        <v>747</v>
      </c>
      <c r="B276" s="302" t="s">
        <v>119</v>
      </c>
      <c r="C276" s="300" t="s">
        <v>936</v>
      </c>
      <c r="D276" s="300" t="s">
        <v>924</v>
      </c>
      <c r="E276" s="302">
        <v>5914655</v>
      </c>
      <c r="F276" s="305">
        <v>3.5E-4</v>
      </c>
      <c r="G276" s="301" t="s">
        <v>98</v>
      </c>
      <c r="H276" s="374">
        <v>33.08</v>
      </c>
      <c r="I276" s="368"/>
      <c r="J276" s="304">
        <v>1.1599999999999999E-2</v>
      </c>
    </row>
    <row r="277" spans="1:10" ht="25.5" x14ac:dyDescent="0.2">
      <c r="A277" s="300" t="s">
        <v>747</v>
      </c>
      <c r="B277" s="302" t="s">
        <v>119</v>
      </c>
      <c r="C277" s="300" t="s">
        <v>938</v>
      </c>
      <c r="D277" s="300" t="s">
        <v>924</v>
      </c>
      <c r="E277" s="302">
        <v>5914655</v>
      </c>
      <c r="F277" s="305">
        <v>2.0000000000000002E-5</v>
      </c>
      <c r="G277" s="301" t="s">
        <v>98</v>
      </c>
      <c r="H277" s="374">
        <v>33.08</v>
      </c>
      <c r="I277" s="368"/>
      <c r="J277" s="304">
        <v>6.9999999999999999E-4</v>
      </c>
    </row>
    <row r="278" spans="1:10" ht="25.5" x14ac:dyDescent="0.2">
      <c r="A278" s="300" t="s">
        <v>747</v>
      </c>
      <c r="B278" s="302" t="s">
        <v>119</v>
      </c>
      <c r="C278" s="300" t="s">
        <v>942</v>
      </c>
      <c r="D278" s="300" t="s">
        <v>924</v>
      </c>
      <c r="E278" s="302">
        <v>5914655</v>
      </c>
      <c r="F278" s="305">
        <v>5.5000000000000003E-4</v>
      </c>
      <c r="G278" s="301" t="s">
        <v>98</v>
      </c>
      <c r="H278" s="374">
        <v>33.08</v>
      </c>
      <c r="I278" s="368"/>
      <c r="J278" s="304">
        <v>1.8200000000000001E-2</v>
      </c>
    </row>
    <row r="279" spans="1:10" x14ac:dyDescent="0.2">
      <c r="A279" s="364"/>
      <c r="B279" s="364"/>
      <c r="C279" s="364"/>
      <c r="D279" s="364"/>
      <c r="E279" s="364"/>
      <c r="F279" s="364"/>
      <c r="G279" s="364" t="s">
        <v>749</v>
      </c>
      <c r="H279" s="364"/>
      <c r="I279" s="364"/>
      <c r="J279" s="314">
        <v>3.3099999999999997E-2</v>
      </c>
    </row>
    <row r="280" spans="1:10" ht="15" x14ac:dyDescent="0.2">
      <c r="A280" s="291" t="s">
        <v>750</v>
      </c>
      <c r="B280" s="293" t="s">
        <v>7</v>
      </c>
      <c r="C280" s="291" t="s">
        <v>130</v>
      </c>
      <c r="D280" s="291" t="s">
        <v>751</v>
      </c>
      <c r="E280" s="293" t="s">
        <v>430</v>
      </c>
      <c r="F280" s="293" t="s">
        <v>740</v>
      </c>
      <c r="G280" s="375" t="s">
        <v>752</v>
      </c>
      <c r="H280" s="363"/>
      <c r="I280" s="363"/>
      <c r="J280" s="293" t="s">
        <v>433</v>
      </c>
    </row>
    <row r="281" spans="1:10" ht="15" x14ac:dyDescent="0.2">
      <c r="A281" s="292"/>
      <c r="B281" s="292"/>
      <c r="C281" s="292"/>
      <c r="D281" s="292"/>
      <c r="E281" s="292"/>
      <c r="F281" s="292"/>
      <c r="G281" s="292" t="s">
        <v>753</v>
      </c>
      <c r="H281" s="292" t="s">
        <v>754</v>
      </c>
      <c r="I281" s="292" t="s">
        <v>755</v>
      </c>
      <c r="J281" s="292"/>
    </row>
    <row r="282" spans="1:10" ht="38.25" x14ac:dyDescent="0.2">
      <c r="A282" s="300" t="s">
        <v>751</v>
      </c>
      <c r="B282" s="302" t="s">
        <v>119</v>
      </c>
      <c r="C282" s="300" t="s">
        <v>934</v>
      </c>
      <c r="D282" s="300" t="s">
        <v>944</v>
      </c>
      <c r="E282" s="305">
        <v>8.0000000000000007E-5</v>
      </c>
      <c r="F282" s="301" t="s">
        <v>122</v>
      </c>
      <c r="G282" s="302" t="s">
        <v>926</v>
      </c>
      <c r="H282" s="302" t="s">
        <v>927</v>
      </c>
      <c r="I282" s="302" t="s">
        <v>928</v>
      </c>
      <c r="J282" s="304">
        <v>0</v>
      </c>
    </row>
    <row r="283" spans="1:10" ht="38.25" x14ac:dyDescent="0.2">
      <c r="A283" s="300" t="s">
        <v>751</v>
      </c>
      <c r="B283" s="302" t="s">
        <v>119</v>
      </c>
      <c r="C283" s="300" t="s">
        <v>936</v>
      </c>
      <c r="D283" s="300" t="s">
        <v>945</v>
      </c>
      <c r="E283" s="305">
        <v>3.5E-4</v>
      </c>
      <c r="F283" s="301" t="s">
        <v>122</v>
      </c>
      <c r="G283" s="302" t="s">
        <v>926</v>
      </c>
      <c r="H283" s="302" t="s">
        <v>927</v>
      </c>
      <c r="I283" s="302" t="s">
        <v>928</v>
      </c>
      <c r="J283" s="304">
        <v>0</v>
      </c>
    </row>
    <row r="284" spans="1:10" ht="38.25" x14ac:dyDescent="0.2">
      <c r="A284" s="300" t="s">
        <v>751</v>
      </c>
      <c r="B284" s="302" t="s">
        <v>119</v>
      </c>
      <c r="C284" s="300" t="s">
        <v>938</v>
      </c>
      <c r="D284" s="300" t="s">
        <v>946</v>
      </c>
      <c r="E284" s="305">
        <v>2.0000000000000002E-5</v>
      </c>
      <c r="F284" s="301" t="s">
        <v>122</v>
      </c>
      <c r="G284" s="302" t="s">
        <v>926</v>
      </c>
      <c r="H284" s="302" t="s">
        <v>927</v>
      </c>
      <c r="I284" s="302" t="s">
        <v>928</v>
      </c>
      <c r="J284" s="304">
        <v>0</v>
      </c>
    </row>
    <row r="285" spans="1:10" ht="38.25" x14ac:dyDescent="0.2">
      <c r="A285" s="300" t="s">
        <v>751</v>
      </c>
      <c r="B285" s="302" t="s">
        <v>119</v>
      </c>
      <c r="C285" s="300" t="s">
        <v>942</v>
      </c>
      <c r="D285" s="300" t="s">
        <v>947</v>
      </c>
      <c r="E285" s="305">
        <v>5.5000000000000003E-4</v>
      </c>
      <c r="F285" s="301" t="s">
        <v>122</v>
      </c>
      <c r="G285" s="302" t="s">
        <v>926</v>
      </c>
      <c r="H285" s="302" t="s">
        <v>927</v>
      </c>
      <c r="I285" s="302" t="s">
        <v>928</v>
      </c>
      <c r="J285" s="304">
        <v>0</v>
      </c>
    </row>
    <row r="286" spans="1:10" x14ac:dyDescent="0.2">
      <c r="A286" s="364"/>
      <c r="B286" s="364"/>
      <c r="C286" s="364"/>
      <c r="D286" s="364"/>
      <c r="E286" s="364"/>
      <c r="F286" s="364"/>
      <c r="G286" s="364" t="s">
        <v>760</v>
      </c>
      <c r="H286" s="364"/>
      <c r="I286" s="364"/>
      <c r="J286" s="314">
        <v>0</v>
      </c>
    </row>
    <row r="287" spans="1:10" x14ac:dyDescent="0.2">
      <c r="A287" s="317"/>
      <c r="B287" s="317"/>
      <c r="C287" s="317"/>
      <c r="D287" s="317"/>
      <c r="E287" s="317"/>
      <c r="F287" s="318"/>
      <c r="G287" s="317"/>
      <c r="H287" s="318"/>
      <c r="I287" s="317"/>
      <c r="J287" s="318"/>
    </row>
    <row r="288" spans="1:10" ht="15" thickBot="1" x14ac:dyDescent="0.25">
      <c r="A288" s="317"/>
      <c r="B288" s="317"/>
      <c r="C288" s="317"/>
      <c r="D288" s="317"/>
      <c r="E288" s="317" t="s">
        <v>123</v>
      </c>
      <c r="F288" s="318">
        <v>5.91</v>
      </c>
      <c r="G288" s="317"/>
      <c r="H288" s="366" t="s">
        <v>124</v>
      </c>
      <c r="I288" s="366"/>
      <c r="J288" s="318">
        <v>30.88</v>
      </c>
    </row>
    <row r="289" spans="1:10" ht="15" thickTop="1" x14ac:dyDescent="0.2">
      <c r="A289" s="299"/>
      <c r="B289" s="299"/>
      <c r="C289" s="299"/>
      <c r="D289" s="299"/>
      <c r="E289" s="299"/>
      <c r="F289" s="299"/>
      <c r="G289" s="299"/>
      <c r="H289" s="299"/>
      <c r="I289" s="299"/>
      <c r="J289" s="299"/>
    </row>
    <row r="290" spans="1:10" ht="15" x14ac:dyDescent="0.2">
      <c r="A290" s="291" t="s">
        <v>877</v>
      </c>
      <c r="B290" s="293" t="s">
        <v>6</v>
      </c>
      <c r="C290" s="291" t="s">
        <v>7</v>
      </c>
      <c r="D290" s="291" t="s">
        <v>8</v>
      </c>
      <c r="E290" s="367" t="s">
        <v>114</v>
      </c>
      <c r="F290" s="367"/>
      <c r="G290" s="292" t="s">
        <v>9</v>
      </c>
      <c r="H290" s="293" t="s">
        <v>10</v>
      </c>
      <c r="I290" s="293" t="s">
        <v>11</v>
      </c>
      <c r="J290" s="293" t="s">
        <v>12</v>
      </c>
    </row>
    <row r="291" spans="1:10" ht="25.5" x14ac:dyDescent="0.2">
      <c r="A291" s="294" t="s">
        <v>115</v>
      </c>
      <c r="B291" s="296" t="s">
        <v>52</v>
      </c>
      <c r="C291" s="294" t="s">
        <v>16</v>
      </c>
      <c r="D291" s="294" t="s">
        <v>53</v>
      </c>
      <c r="E291" s="373" t="s">
        <v>116</v>
      </c>
      <c r="F291" s="373"/>
      <c r="G291" s="295" t="s">
        <v>31</v>
      </c>
      <c r="H291" s="298">
        <v>1</v>
      </c>
      <c r="I291" s="297">
        <v>16.149999999999999</v>
      </c>
      <c r="J291" s="297">
        <v>16.149999999999999</v>
      </c>
    </row>
    <row r="292" spans="1:10" ht="25.5" x14ac:dyDescent="0.2">
      <c r="A292" s="300" t="s">
        <v>117</v>
      </c>
      <c r="B292" s="302" t="s">
        <v>125</v>
      </c>
      <c r="C292" s="300" t="s">
        <v>38</v>
      </c>
      <c r="D292" s="300" t="s">
        <v>126</v>
      </c>
      <c r="E292" s="368" t="s">
        <v>116</v>
      </c>
      <c r="F292" s="368"/>
      <c r="G292" s="301" t="s">
        <v>127</v>
      </c>
      <c r="H292" s="305">
        <v>0.2</v>
      </c>
      <c r="I292" s="303">
        <v>19.920000000000002</v>
      </c>
      <c r="J292" s="303">
        <v>3.98</v>
      </c>
    </row>
    <row r="293" spans="1:10" ht="26.25" customHeight="1" x14ac:dyDescent="0.2">
      <c r="A293" s="300" t="s">
        <v>117</v>
      </c>
      <c r="B293" s="302" t="s">
        <v>184</v>
      </c>
      <c r="C293" s="300" t="s">
        <v>38</v>
      </c>
      <c r="D293" s="300" t="s">
        <v>185</v>
      </c>
      <c r="E293" s="368" t="s">
        <v>116</v>
      </c>
      <c r="F293" s="368"/>
      <c r="G293" s="301" t="s">
        <v>127</v>
      </c>
      <c r="H293" s="305">
        <v>0.1</v>
      </c>
      <c r="I293" s="303">
        <v>27.97</v>
      </c>
      <c r="J293" s="303">
        <v>2.79</v>
      </c>
    </row>
    <row r="294" spans="1:10" x14ac:dyDescent="0.2">
      <c r="A294" s="306" t="s">
        <v>130</v>
      </c>
      <c r="B294" s="308" t="s">
        <v>186</v>
      </c>
      <c r="C294" s="306" t="s">
        <v>38</v>
      </c>
      <c r="D294" s="306" t="s">
        <v>187</v>
      </c>
      <c r="E294" s="365" t="s">
        <v>61</v>
      </c>
      <c r="F294" s="365"/>
      <c r="G294" s="307" t="s">
        <v>188</v>
      </c>
      <c r="H294" s="311">
        <v>1</v>
      </c>
      <c r="I294" s="309">
        <v>3.73</v>
      </c>
      <c r="J294" s="309">
        <v>3.73</v>
      </c>
    </row>
    <row r="295" spans="1:10" x14ac:dyDescent="0.2">
      <c r="A295" s="306" t="s">
        <v>130</v>
      </c>
      <c r="B295" s="308" t="s">
        <v>189</v>
      </c>
      <c r="C295" s="306" t="s">
        <v>19</v>
      </c>
      <c r="D295" s="306" t="s">
        <v>190</v>
      </c>
      <c r="E295" s="365" t="s">
        <v>61</v>
      </c>
      <c r="F295" s="365"/>
      <c r="G295" s="307" t="s">
        <v>191</v>
      </c>
      <c r="H295" s="311">
        <v>0.1</v>
      </c>
      <c r="I295" s="309">
        <v>21.56</v>
      </c>
      <c r="J295" s="309">
        <v>2.15</v>
      </c>
    </row>
    <row r="296" spans="1:10" ht="25.5" x14ac:dyDescent="0.2">
      <c r="A296" s="306" t="s">
        <v>130</v>
      </c>
      <c r="B296" s="308" t="s">
        <v>192</v>
      </c>
      <c r="C296" s="306" t="s">
        <v>38</v>
      </c>
      <c r="D296" s="306" t="s">
        <v>193</v>
      </c>
      <c r="E296" s="365" t="s">
        <v>61</v>
      </c>
      <c r="F296" s="365"/>
      <c r="G296" s="307" t="s">
        <v>194</v>
      </c>
      <c r="H296" s="311">
        <v>2</v>
      </c>
      <c r="I296" s="309">
        <v>1.75</v>
      </c>
      <c r="J296" s="309">
        <v>3.5</v>
      </c>
    </row>
    <row r="297" spans="1:10" x14ac:dyDescent="0.2">
      <c r="A297" s="317"/>
      <c r="B297" s="317"/>
      <c r="C297" s="317"/>
      <c r="D297" s="317"/>
      <c r="E297" s="317"/>
      <c r="F297" s="318"/>
      <c r="G297" s="317"/>
      <c r="H297" s="318"/>
      <c r="I297" s="317"/>
      <c r="J297" s="318"/>
    </row>
    <row r="298" spans="1:10" ht="15" thickBot="1" x14ac:dyDescent="0.25">
      <c r="A298" s="317"/>
      <c r="B298" s="317"/>
      <c r="C298" s="317"/>
      <c r="D298" s="317"/>
      <c r="E298" s="317" t="s">
        <v>123</v>
      </c>
      <c r="F298" s="318">
        <v>3.82</v>
      </c>
      <c r="G298" s="317"/>
      <c r="H298" s="366" t="s">
        <v>124</v>
      </c>
      <c r="I298" s="366"/>
      <c r="J298" s="318">
        <v>19.97</v>
      </c>
    </row>
    <row r="299" spans="1:10" ht="15" thickTop="1" x14ac:dyDescent="0.2">
      <c r="A299" s="299"/>
      <c r="B299" s="299"/>
      <c r="C299" s="299"/>
      <c r="D299" s="299"/>
      <c r="E299" s="299"/>
      <c r="F299" s="299"/>
      <c r="G299" s="299"/>
      <c r="H299" s="299"/>
      <c r="I299" s="299"/>
      <c r="J299" s="299"/>
    </row>
    <row r="300" spans="1:10" ht="15" x14ac:dyDescent="0.2">
      <c r="A300" s="291" t="s">
        <v>878</v>
      </c>
      <c r="B300" s="293" t="s">
        <v>6</v>
      </c>
      <c r="C300" s="291" t="s">
        <v>7</v>
      </c>
      <c r="D300" s="291" t="s">
        <v>8</v>
      </c>
      <c r="E300" s="367" t="s">
        <v>114</v>
      </c>
      <c r="F300" s="367"/>
      <c r="G300" s="292" t="s">
        <v>9</v>
      </c>
      <c r="H300" s="293" t="s">
        <v>10</v>
      </c>
      <c r="I300" s="293" t="s">
        <v>11</v>
      </c>
      <c r="J300" s="293" t="s">
        <v>12</v>
      </c>
    </row>
    <row r="301" spans="1:10" ht="25.5" x14ac:dyDescent="0.2">
      <c r="A301" s="294" t="s">
        <v>115</v>
      </c>
      <c r="B301" s="296" t="s">
        <v>54</v>
      </c>
      <c r="C301" s="294" t="s">
        <v>19</v>
      </c>
      <c r="D301" s="294" t="s">
        <v>93</v>
      </c>
      <c r="E301" s="373" t="s">
        <v>195</v>
      </c>
      <c r="F301" s="373"/>
      <c r="G301" s="295" t="s">
        <v>55</v>
      </c>
      <c r="H301" s="298">
        <v>1</v>
      </c>
      <c r="I301" s="297">
        <v>233.8</v>
      </c>
      <c r="J301" s="297">
        <v>233.8</v>
      </c>
    </row>
    <row r="302" spans="1:10" ht="25.5" x14ac:dyDescent="0.2">
      <c r="A302" s="300" t="s">
        <v>117</v>
      </c>
      <c r="B302" s="302" t="s">
        <v>196</v>
      </c>
      <c r="C302" s="300" t="s">
        <v>19</v>
      </c>
      <c r="D302" s="300" t="s">
        <v>197</v>
      </c>
      <c r="E302" s="368" t="s">
        <v>198</v>
      </c>
      <c r="F302" s="368"/>
      <c r="G302" s="301" t="s">
        <v>21</v>
      </c>
      <c r="H302" s="305">
        <v>1</v>
      </c>
      <c r="I302" s="303">
        <v>198.95</v>
      </c>
      <c r="J302" s="303">
        <v>198.95</v>
      </c>
    </row>
    <row r="303" spans="1:10" ht="25.5" x14ac:dyDescent="0.2">
      <c r="A303" s="300" t="s">
        <v>117</v>
      </c>
      <c r="B303" s="302" t="s">
        <v>199</v>
      </c>
      <c r="C303" s="300" t="s">
        <v>19</v>
      </c>
      <c r="D303" s="300" t="s">
        <v>200</v>
      </c>
      <c r="E303" s="368" t="s">
        <v>201</v>
      </c>
      <c r="F303" s="368"/>
      <c r="G303" s="301" t="s">
        <v>49</v>
      </c>
      <c r="H303" s="305">
        <v>0.06</v>
      </c>
      <c r="I303" s="303">
        <v>580.85</v>
      </c>
      <c r="J303" s="303">
        <v>34.85</v>
      </c>
    </row>
    <row r="304" spans="1:10" ht="15" customHeight="1" x14ac:dyDescent="0.2">
      <c r="A304" s="317"/>
      <c r="B304" s="317"/>
      <c r="C304" s="317"/>
      <c r="D304" s="317"/>
      <c r="E304" s="317"/>
      <c r="F304" s="318"/>
      <c r="G304" s="317"/>
      <c r="H304" s="318"/>
      <c r="I304" s="317"/>
      <c r="J304" s="318"/>
    </row>
    <row r="305" spans="1:10" ht="15" thickBot="1" x14ac:dyDescent="0.25">
      <c r="A305" s="317"/>
      <c r="B305" s="317"/>
      <c r="C305" s="317"/>
      <c r="D305" s="317"/>
      <c r="E305" s="317" t="s">
        <v>123</v>
      </c>
      <c r="F305" s="318">
        <v>55.41</v>
      </c>
      <c r="G305" s="317"/>
      <c r="H305" s="366" t="s">
        <v>124</v>
      </c>
      <c r="I305" s="366"/>
      <c r="J305" s="318">
        <v>289.20999999999998</v>
      </c>
    </row>
    <row r="306" spans="1:10" ht="15" thickTop="1" x14ac:dyDescent="0.2">
      <c r="A306" s="299"/>
      <c r="B306" s="299"/>
      <c r="C306" s="299"/>
      <c r="D306" s="299"/>
      <c r="E306" s="299"/>
      <c r="F306" s="299"/>
      <c r="G306" s="299"/>
      <c r="H306" s="299"/>
      <c r="I306" s="299"/>
      <c r="J306" s="299"/>
    </row>
    <row r="307" spans="1:10" ht="15" x14ac:dyDescent="0.2">
      <c r="A307" s="291" t="s">
        <v>948</v>
      </c>
      <c r="B307" s="293" t="s">
        <v>6</v>
      </c>
      <c r="C307" s="291" t="s">
        <v>7</v>
      </c>
      <c r="D307" s="291" t="s">
        <v>8</v>
      </c>
      <c r="E307" s="367" t="s">
        <v>114</v>
      </c>
      <c r="F307" s="367"/>
      <c r="G307" s="292" t="s">
        <v>9</v>
      </c>
      <c r="H307" s="293" t="s">
        <v>10</v>
      </c>
      <c r="I307" s="293" t="s">
        <v>11</v>
      </c>
      <c r="J307" s="293" t="s">
        <v>12</v>
      </c>
    </row>
    <row r="308" spans="1:10" ht="38.25" x14ac:dyDescent="0.2">
      <c r="A308" s="294" t="s">
        <v>115</v>
      </c>
      <c r="B308" s="296" t="s">
        <v>56</v>
      </c>
      <c r="C308" s="294" t="s">
        <v>16</v>
      </c>
      <c r="D308" s="294" t="s">
        <v>57</v>
      </c>
      <c r="E308" s="373" t="s">
        <v>116</v>
      </c>
      <c r="F308" s="373"/>
      <c r="G308" s="295" t="s">
        <v>23</v>
      </c>
      <c r="H308" s="298">
        <v>1</v>
      </c>
      <c r="I308" s="297">
        <v>26.84</v>
      </c>
      <c r="J308" s="297">
        <v>26.84</v>
      </c>
    </row>
    <row r="309" spans="1:10" ht="25.5" x14ac:dyDescent="0.2">
      <c r="A309" s="300" t="s">
        <v>117</v>
      </c>
      <c r="B309" s="302" t="s">
        <v>125</v>
      </c>
      <c r="C309" s="300" t="s">
        <v>38</v>
      </c>
      <c r="D309" s="300" t="s">
        <v>126</v>
      </c>
      <c r="E309" s="368" t="s">
        <v>116</v>
      </c>
      <c r="F309" s="368"/>
      <c r="G309" s="301" t="s">
        <v>127</v>
      </c>
      <c r="H309" s="305">
        <v>0.56599999999999995</v>
      </c>
      <c r="I309" s="303">
        <v>19.920000000000002</v>
      </c>
      <c r="J309" s="303">
        <v>11.27</v>
      </c>
    </row>
    <row r="310" spans="1:10" ht="25.5" x14ac:dyDescent="0.2">
      <c r="A310" s="300" t="s">
        <v>117</v>
      </c>
      <c r="B310" s="302" t="s">
        <v>202</v>
      </c>
      <c r="C310" s="300" t="s">
        <v>38</v>
      </c>
      <c r="D310" s="300" t="s">
        <v>203</v>
      </c>
      <c r="E310" s="368" t="s">
        <v>116</v>
      </c>
      <c r="F310" s="368"/>
      <c r="G310" s="301" t="s">
        <v>127</v>
      </c>
      <c r="H310" s="305">
        <v>0.73099999999999998</v>
      </c>
      <c r="I310" s="303">
        <v>21.31</v>
      </c>
      <c r="J310" s="303">
        <v>15.57</v>
      </c>
    </row>
    <row r="311" spans="1:10" x14ac:dyDescent="0.2">
      <c r="A311" s="317"/>
      <c r="B311" s="317"/>
      <c r="C311" s="317"/>
      <c r="D311" s="317"/>
      <c r="E311" s="317"/>
      <c r="F311" s="318"/>
      <c r="G311" s="317"/>
      <c r="H311" s="318"/>
      <c r="I311" s="317"/>
      <c r="J311" s="318"/>
    </row>
    <row r="312" spans="1:10" ht="15" thickBot="1" x14ac:dyDescent="0.25">
      <c r="A312" s="317"/>
      <c r="B312" s="317"/>
      <c r="C312" s="317"/>
      <c r="D312" s="317"/>
      <c r="E312" s="317" t="s">
        <v>123</v>
      </c>
      <c r="F312" s="318">
        <v>6.36</v>
      </c>
      <c r="G312" s="317"/>
      <c r="H312" s="366" t="s">
        <v>124</v>
      </c>
      <c r="I312" s="366"/>
      <c r="J312" s="318">
        <v>33.200000000000003</v>
      </c>
    </row>
    <row r="313" spans="1:10" ht="15" thickTop="1" x14ac:dyDescent="0.2">
      <c r="A313" s="299"/>
      <c r="B313" s="299"/>
      <c r="C313" s="299"/>
      <c r="D313" s="299"/>
      <c r="E313" s="299"/>
      <c r="F313" s="299"/>
      <c r="G313" s="299"/>
      <c r="H313" s="299"/>
      <c r="I313" s="299"/>
      <c r="J313" s="299"/>
    </row>
    <row r="314" spans="1:10" ht="15" x14ac:dyDescent="0.2">
      <c r="A314" s="291" t="s">
        <v>949</v>
      </c>
      <c r="B314" s="293" t="s">
        <v>6</v>
      </c>
      <c r="C314" s="291" t="s">
        <v>7</v>
      </c>
      <c r="D314" s="291" t="s">
        <v>8</v>
      </c>
      <c r="E314" s="367" t="s">
        <v>114</v>
      </c>
      <c r="F314" s="367"/>
      <c r="G314" s="292" t="s">
        <v>9</v>
      </c>
      <c r="H314" s="293" t="s">
        <v>10</v>
      </c>
      <c r="I314" s="293" t="s">
        <v>11</v>
      </c>
      <c r="J314" s="293" t="s">
        <v>12</v>
      </c>
    </row>
    <row r="315" spans="1:10" ht="26.25" customHeight="1" x14ac:dyDescent="0.2">
      <c r="A315" s="294" t="s">
        <v>115</v>
      </c>
      <c r="B315" s="296" t="s">
        <v>771</v>
      </c>
      <c r="C315" s="294" t="s">
        <v>19</v>
      </c>
      <c r="D315" s="294" t="s">
        <v>703</v>
      </c>
      <c r="E315" s="373" t="s">
        <v>237</v>
      </c>
      <c r="F315" s="373"/>
      <c r="G315" s="295" t="s">
        <v>21</v>
      </c>
      <c r="H315" s="298">
        <v>1</v>
      </c>
      <c r="I315" s="297">
        <v>0.44</v>
      </c>
      <c r="J315" s="297">
        <v>0.44</v>
      </c>
    </row>
    <row r="316" spans="1:10" ht="25.5" x14ac:dyDescent="0.2">
      <c r="A316" s="300" t="s">
        <v>117</v>
      </c>
      <c r="B316" s="302" t="s">
        <v>772</v>
      </c>
      <c r="C316" s="300" t="s">
        <v>19</v>
      </c>
      <c r="D316" s="300" t="s">
        <v>773</v>
      </c>
      <c r="E316" s="368" t="s">
        <v>774</v>
      </c>
      <c r="F316" s="368"/>
      <c r="G316" s="301" t="s">
        <v>122</v>
      </c>
      <c r="H316" s="305">
        <v>6.2600000000000003E-2</v>
      </c>
      <c r="I316" s="303">
        <v>0.27</v>
      </c>
      <c r="J316" s="303">
        <v>0.01</v>
      </c>
    </row>
    <row r="317" spans="1:10" ht="25.5" x14ac:dyDescent="0.2">
      <c r="A317" s="300" t="s">
        <v>117</v>
      </c>
      <c r="B317" s="302" t="s">
        <v>238</v>
      </c>
      <c r="C317" s="300" t="s">
        <v>19</v>
      </c>
      <c r="D317" s="300" t="s">
        <v>239</v>
      </c>
      <c r="E317" s="368" t="s">
        <v>240</v>
      </c>
      <c r="F317" s="368"/>
      <c r="G317" s="301" t="s">
        <v>149</v>
      </c>
      <c r="H317" s="305">
        <v>2.7799999999999998E-2</v>
      </c>
      <c r="I317" s="303">
        <v>3.7</v>
      </c>
      <c r="J317" s="303">
        <v>0.1</v>
      </c>
    </row>
    <row r="318" spans="1:10" x14ac:dyDescent="0.2">
      <c r="A318" s="306" t="s">
        <v>130</v>
      </c>
      <c r="B318" s="308" t="s">
        <v>247</v>
      </c>
      <c r="C318" s="306" t="s">
        <v>38</v>
      </c>
      <c r="D318" s="306" t="s">
        <v>248</v>
      </c>
      <c r="E318" s="365" t="s">
        <v>160</v>
      </c>
      <c r="F318" s="365"/>
      <c r="G318" s="307" t="s">
        <v>127</v>
      </c>
      <c r="H318" s="311">
        <v>2.7799999999999998E-2</v>
      </c>
      <c r="I318" s="309">
        <v>12.11</v>
      </c>
      <c r="J318" s="309">
        <v>0.33</v>
      </c>
    </row>
    <row r="319" spans="1:10" x14ac:dyDescent="0.2">
      <c r="A319" s="317"/>
      <c r="B319" s="317"/>
      <c r="C319" s="317"/>
      <c r="D319" s="317"/>
      <c r="E319" s="317"/>
      <c r="F319" s="318"/>
      <c r="G319" s="317"/>
      <c r="H319" s="318"/>
      <c r="I319" s="317"/>
      <c r="J319" s="318"/>
    </row>
    <row r="320" spans="1:10" ht="15" thickBot="1" x14ac:dyDescent="0.25">
      <c r="A320" s="317"/>
      <c r="B320" s="317"/>
      <c r="C320" s="317"/>
      <c r="D320" s="317"/>
      <c r="E320" s="317" t="s">
        <v>123</v>
      </c>
      <c r="F320" s="318">
        <v>0.1</v>
      </c>
      <c r="G320" s="317"/>
      <c r="H320" s="366" t="s">
        <v>124</v>
      </c>
      <c r="I320" s="366"/>
      <c r="J320" s="318">
        <v>0.54</v>
      </c>
    </row>
    <row r="321" spans="1:10" ht="15" thickTop="1" x14ac:dyDescent="0.2">
      <c r="A321" s="299"/>
      <c r="B321" s="299"/>
      <c r="C321" s="299"/>
      <c r="D321" s="299"/>
      <c r="E321" s="299"/>
      <c r="F321" s="299"/>
      <c r="G321" s="299"/>
      <c r="H321" s="299"/>
      <c r="I321" s="299"/>
      <c r="J321" s="299"/>
    </row>
    <row r="322" spans="1:10" ht="15" x14ac:dyDescent="0.25">
      <c r="A322" s="371" t="s">
        <v>206</v>
      </c>
      <c r="B322" s="372"/>
      <c r="C322" s="372"/>
      <c r="D322" s="372"/>
      <c r="E322" s="372"/>
      <c r="F322" s="372"/>
      <c r="G322" s="372"/>
      <c r="H322" s="372"/>
      <c r="I322" s="372"/>
      <c r="J322" s="372"/>
    </row>
    <row r="323" spans="1:10" ht="15" x14ac:dyDescent="0.2">
      <c r="A323" s="291"/>
      <c r="B323" s="293" t="s">
        <v>6</v>
      </c>
      <c r="C323" s="291" t="s">
        <v>7</v>
      </c>
      <c r="D323" s="291" t="s">
        <v>8</v>
      </c>
      <c r="E323" s="367" t="s">
        <v>114</v>
      </c>
      <c r="F323" s="367"/>
      <c r="G323" s="292" t="s">
        <v>9</v>
      </c>
      <c r="H323" s="293" t="s">
        <v>10</v>
      </c>
      <c r="I323" s="293" t="s">
        <v>11</v>
      </c>
      <c r="J323" s="293" t="s">
        <v>12</v>
      </c>
    </row>
    <row r="324" spans="1:10" ht="25.5" x14ac:dyDescent="0.2">
      <c r="A324" s="294" t="s">
        <v>115</v>
      </c>
      <c r="B324" s="296" t="s">
        <v>775</v>
      </c>
      <c r="C324" s="294" t="s">
        <v>119</v>
      </c>
      <c r="D324" s="294" t="s">
        <v>776</v>
      </c>
      <c r="E324" s="373" t="s">
        <v>121</v>
      </c>
      <c r="F324" s="373"/>
      <c r="G324" s="295" t="s">
        <v>98</v>
      </c>
      <c r="H324" s="298">
        <v>1</v>
      </c>
      <c r="I324" s="297">
        <v>1.73</v>
      </c>
      <c r="J324" s="297">
        <v>1.73</v>
      </c>
    </row>
    <row r="325" spans="1:10" ht="15" x14ac:dyDescent="0.2">
      <c r="A325" s="367" t="s">
        <v>428</v>
      </c>
      <c r="B325" s="363" t="s">
        <v>6</v>
      </c>
      <c r="C325" s="367" t="s">
        <v>7</v>
      </c>
      <c r="D325" s="367" t="s">
        <v>429</v>
      </c>
      <c r="E325" s="363" t="s">
        <v>430</v>
      </c>
      <c r="F325" s="375" t="s">
        <v>431</v>
      </c>
      <c r="G325" s="363"/>
      <c r="H325" s="375" t="s">
        <v>432</v>
      </c>
      <c r="I325" s="363"/>
      <c r="J325" s="363" t="s">
        <v>433</v>
      </c>
    </row>
    <row r="326" spans="1:10" ht="15" customHeight="1" x14ac:dyDescent="0.2">
      <c r="A326" s="363"/>
      <c r="B326" s="363"/>
      <c r="C326" s="363"/>
      <c r="D326" s="363"/>
      <c r="E326" s="363"/>
      <c r="F326" s="293" t="s">
        <v>434</v>
      </c>
      <c r="G326" s="293" t="s">
        <v>435</v>
      </c>
      <c r="H326" s="293" t="s">
        <v>434</v>
      </c>
      <c r="I326" s="293" t="s">
        <v>435</v>
      </c>
      <c r="J326" s="363"/>
    </row>
    <row r="327" spans="1:10" x14ac:dyDescent="0.2">
      <c r="A327" s="306" t="s">
        <v>130</v>
      </c>
      <c r="B327" s="308" t="s">
        <v>763</v>
      </c>
      <c r="C327" s="306" t="s">
        <v>119</v>
      </c>
      <c r="D327" s="306" t="s">
        <v>764</v>
      </c>
      <c r="E327" s="311">
        <v>3</v>
      </c>
      <c r="F327" s="309">
        <v>0.86</v>
      </c>
      <c r="G327" s="309">
        <v>0.14000000000000001</v>
      </c>
      <c r="H327" s="310">
        <v>292.44139999999999</v>
      </c>
      <c r="I327" s="310">
        <v>82.760599999999997</v>
      </c>
      <c r="J327" s="310">
        <v>789.25829999999996</v>
      </c>
    </row>
    <row r="328" spans="1:10" x14ac:dyDescent="0.2">
      <c r="A328" s="364"/>
      <c r="B328" s="364"/>
      <c r="C328" s="364"/>
      <c r="D328" s="364"/>
      <c r="E328" s="364"/>
      <c r="F328" s="364"/>
      <c r="G328" s="364" t="s">
        <v>438</v>
      </c>
      <c r="H328" s="364"/>
      <c r="I328" s="364"/>
      <c r="J328" s="314">
        <v>789.25829999999996</v>
      </c>
    </row>
    <row r="329" spans="1:10" x14ac:dyDescent="0.2">
      <c r="A329" s="364"/>
      <c r="B329" s="364"/>
      <c r="C329" s="364"/>
      <c r="D329" s="364"/>
      <c r="E329" s="364"/>
      <c r="F329" s="364"/>
      <c r="G329" s="364" t="s">
        <v>439</v>
      </c>
      <c r="H329" s="364"/>
      <c r="I329" s="364"/>
      <c r="J329" s="314">
        <v>789.25829999999996</v>
      </c>
    </row>
    <row r="330" spans="1:10" x14ac:dyDescent="0.2">
      <c r="A330" s="364"/>
      <c r="B330" s="364"/>
      <c r="C330" s="364"/>
      <c r="D330" s="364"/>
      <c r="E330" s="364"/>
      <c r="F330" s="364"/>
      <c r="G330" s="364" t="s">
        <v>440</v>
      </c>
      <c r="H330" s="364"/>
      <c r="I330" s="364"/>
      <c r="J330" s="314">
        <v>0</v>
      </c>
    </row>
    <row r="331" spans="1:10" x14ac:dyDescent="0.2">
      <c r="A331" s="364"/>
      <c r="B331" s="364"/>
      <c r="C331" s="364"/>
      <c r="D331" s="364"/>
      <c r="E331" s="364"/>
      <c r="F331" s="364"/>
      <c r="G331" s="364" t="s">
        <v>441</v>
      </c>
      <c r="H331" s="364"/>
      <c r="I331" s="364"/>
      <c r="J331" s="314">
        <v>0</v>
      </c>
    </row>
    <row r="332" spans="1:10" x14ac:dyDescent="0.2">
      <c r="A332" s="364"/>
      <c r="B332" s="364"/>
      <c r="C332" s="364"/>
      <c r="D332" s="364"/>
      <c r="E332" s="364"/>
      <c r="F332" s="364"/>
      <c r="G332" s="364" t="s">
        <v>442</v>
      </c>
      <c r="H332" s="364"/>
      <c r="I332" s="364"/>
      <c r="J332" s="314">
        <v>457.16</v>
      </c>
    </row>
    <row r="333" spans="1:10" x14ac:dyDescent="0.2">
      <c r="A333" s="364"/>
      <c r="B333" s="364"/>
      <c r="C333" s="364"/>
      <c r="D333" s="364"/>
      <c r="E333" s="364"/>
      <c r="F333" s="364"/>
      <c r="G333" s="364" t="s">
        <v>443</v>
      </c>
      <c r="H333" s="364"/>
      <c r="I333" s="364"/>
      <c r="J333" s="314">
        <v>1.7263999999999999</v>
      </c>
    </row>
    <row r="334" spans="1:10" x14ac:dyDescent="0.2">
      <c r="A334" s="317"/>
      <c r="B334" s="317"/>
      <c r="C334" s="317"/>
      <c r="D334" s="317"/>
      <c r="E334" s="317"/>
      <c r="F334" s="318"/>
      <c r="G334" s="317"/>
      <c r="H334" s="318"/>
      <c r="I334" s="317"/>
      <c r="J334" s="318"/>
    </row>
    <row r="335" spans="1:10" ht="15" customHeight="1" thickBot="1" x14ac:dyDescent="0.25">
      <c r="A335" s="317"/>
      <c r="B335" s="317"/>
      <c r="C335" s="317"/>
      <c r="D335" s="317"/>
      <c r="E335" s="317" t="s">
        <v>123</v>
      </c>
      <c r="F335" s="318">
        <v>0.41</v>
      </c>
      <c r="G335" s="317"/>
      <c r="H335" s="366" t="s">
        <v>124</v>
      </c>
      <c r="I335" s="366"/>
      <c r="J335" s="318">
        <v>2.14</v>
      </c>
    </row>
    <row r="336" spans="1:10" ht="15" thickTop="1" x14ac:dyDescent="0.2">
      <c r="A336" s="299"/>
      <c r="B336" s="299"/>
      <c r="C336" s="299"/>
      <c r="D336" s="299"/>
      <c r="E336" s="299"/>
      <c r="F336" s="299"/>
      <c r="G336" s="299"/>
      <c r="H336" s="299"/>
      <c r="I336" s="299"/>
      <c r="J336" s="299"/>
    </row>
    <row r="337" spans="1:10" ht="15" x14ac:dyDescent="0.2">
      <c r="A337" s="291"/>
      <c r="B337" s="293" t="s">
        <v>6</v>
      </c>
      <c r="C337" s="291" t="s">
        <v>7</v>
      </c>
      <c r="D337" s="291" t="s">
        <v>8</v>
      </c>
      <c r="E337" s="367" t="s">
        <v>114</v>
      </c>
      <c r="F337" s="367"/>
      <c r="G337" s="292" t="s">
        <v>9</v>
      </c>
      <c r="H337" s="293" t="s">
        <v>10</v>
      </c>
      <c r="I337" s="293" t="s">
        <v>11</v>
      </c>
      <c r="J337" s="293" t="s">
        <v>12</v>
      </c>
    </row>
    <row r="338" spans="1:10" ht="25.5" x14ac:dyDescent="0.2">
      <c r="A338" s="294" t="s">
        <v>115</v>
      </c>
      <c r="B338" s="296" t="s">
        <v>1008</v>
      </c>
      <c r="C338" s="294" t="s">
        <v>119</v>
      </c>
      <c r="D338" s="294" t="s">
        <v>950</v>
      </c>
      <c r="E338" s="373" t="s">
        <v>121</v>
      </c>
      <c r="F338" s="373"/>
      <c r="G338" s="295" t="s">
        <v>98</v>
      </c>
      <c r="H338" s="298">
        <v>1</v>
      </c>
      <c r="I338" s="297">
        <v>33.840000000000003</v>
      </c>
      <c r="J338" s="297">
        <v>33.840000000000003</v>
      </c>
    </row>
    <row r="339" spans="1:10" ht="15" x14ac:dyDescent="0.2">
      <c r="A339" s="367" t="s">
        <v>428</v>
      </c>
      <c r="B339" s="363" t="s">
        <v>6</v>
      </c>
      <c r="C339" s="367" t="s">
        <v>7</v>
      </c>
      <c r="D339" s="367" t="s">
        <v>429</v>
      </c>
      <c r="E339" s="363" t="s">
        <v>430</v>
      </c>
      <c r="F339" s="375" t="s">
        <v>431</v>
      </c>
      <c r="G339" s="363"/>
      <c r="H339" s="375" t="s">
        <v>432</v>
      </c>
      <c r="I339" s="363"/>
      <c r="J339" s="363" t="s">
        <v>433</v>
      </c>
    </row>
    <row r="340" spans="1:10" ht="15" x14ac:dyDescent="0.2">
      <c r="A340" s="363"/>
      <c r="B340" s="363"/>
      <c r="C340" s="363"/>
      <c r="D340" s="363"/>
      <c r="E340" s="363"/>
      <c r="F340" s="293" t="s">
        <v>434</v>
      </c>
      <c r="G340" s="293" t="s">
        <v>435</v>
      </c>
      <c r="H340" s="293" t="s">
        <v>434</v>
      </c>
      <c r="I340" s="293" t="s">
        <v>435</v>
      </c>
      <c r="J340" s="363"/>
    </row>
    <row r="341" spans="1:10" x14ac:dyDescent="0.2">
      <c r="A341" s="306" t="s">
        <v>130</v>
      </c>
      <c r="B341" s="308" t="s">
        <v>768</v>
      </c>
      <c r="C341" s="306" t="s">
        <v>119</v>
      </c>
      <c r="D341" s="306" t="s">
        <v>769</v>
      </c>
      <c r="E341" s="311">
        <v>2</v>
      </c>
      <c r="F341" s="309">
        <v>0.53</v>
      </c>
      <c r="G341" s="309">
        <v>0.47</v>
      </c>
      <c r="H341" s="310">
        <v>278.09460000000001</v>
      </c>
      <c r="I341" s="310">
        <v>75.520799999999994</v>
      </c>
      <c r="J341" s="310">
        <v>365.76979999999998</v>
      </c>
    </row>
    <row r="342" spans="1:10" x14ac:dyDescent="0.2">
      <c r="A342" s="306" t="s">
        <v>130</v>
      </c>
      <c r="B342" s="308" t="s">
        <v>951</v>
      </c>
      <c r="C342" s="306" t="s">
        <v>119</v>
      </c>
      <c r="D342" s="306" t="s">
        <v>952</v>
      </c>
      <c r="E342" s="311">
        <v>1</v>
      </c>
      <c r="F342" s="309">
        <v>1</v>
      </c>
      <c r="G342" s="309">
        <v>0</v>
      </c>
      <c r="H342" s="310">
        <v>319.58580000000001</v>
      </c>
      <c r="I342" s="310">
        <v>114.8396</v>
      </c>
      <c r="J342" s="310">
        <v>319.58580000000001</v>
      </c>
    </row>
    <row r="343" spans="1:10" x14ac:dyDescent="0.2">
      <c r="A343" s="364"/>
      <c r="B343" s="364"/>
      <c r="C343" s="364"/>
      <c r="D343" s="364"/>
      <c r="E343" s="364"/>
      <c r="F343" s="364"/>
      <c r="G343" s="364" t="s">
        <v>438</v>
      </c>
      <c r="H343" s="364"/>
      <c r="I343" s="364"/>
      <c r="J343" s="314">
        <v>685.35559999999998</v>
      </c>
    </row>
    <row r="344" spans="1:10" ht="15" x14ac:dyDescent="0.2">
      <c r="A344" s="291" t="s">
        <v>724</v>
      </c>
      <c r="B344" s="293" t="s">
        <v>6</v>
      </c>
      <c r="C344" s="291" t="s">
        <v>7</v>
      </c>
      <c r="D344" s="291" t="s">
        <v>160</v>
      </c>
      <c r="E344" s="293" t="s">
        <v>430</v>
      </c>
      <c r="F344" s="363" t="s">
        <v>725</v>
      </c>
      <c r="G344" s="363"/>
      <c r="H344" s="363"/>
      <c r="I344" s="363"/>
      <c r="J344" s="293" t="s">
        <v>433</v>
      </c>
    </row>
    <row r="345" spans="1:10" ht="15" customHeight="1" x14ac:dyDescent="0.2">
      <c r="A345" s="306" t="s">
        <v>130</v>
      </c>
      <c r="B345" s="308" t="s">
        <v>726</v>
      </c>
      <c r="C345" s="306" t="s">
        <v>119</v>
      </c>
      <c r="D345" s="306" t="s">
        <v>727</v>
      </c>
      <c r="E345" s="311">
        <v>2</v>
      </c>
      <c r="F345" s="306"/>
      <c r="G345" s="306"/>
      <c r="H345" s="306"/>
      <c r="I345" s="310">
        <v>18.924900000000001</v>
      </c>
      <c r="J345" s="310">
        <v>37.849800000000002</v>
      </c>
    </row>
    <row r="346" spans="1:10" x14ac:dyDescent="0.2">
      <c r="A346" s="364"/>
      <c r="B346" s="364"/>
      <c r="C346" s="364"/>
      <c r="D346" s="364"/>
      <c r="E346" s="364"/>
      <c r="F346" s="364"/>
      <c r="G346" s="364" t="s">
        <v>728</v>
      </c>
      <c r="H346" s="364"/>
      <c r="I346" s="364"/>
      <c r="J346" s="314">
        <v>37.849800000000002</v>
      </c>
    </row>
    <row r="347" spans="1:10" x14ac:dyDescent="0.2">
      <c r="A347" s="364"/>
      <c r="B347" s="364"/>
      <c r="C347" s="364"/>
      <c r="D347" s="364"/>
      <c r="E347" s="364"/>
      <c r="F347" s="364"/>
      <c r="G347" s="364" t="s">
        <v>729</v>
      </c>
      <c r="H347" s="364"/>
      <c r="I347" s="364"/>
      <c r="J347" s="314">
        <v>0</v>
      </c>
    </row>
    <row r="348" spans="1:10" x14ac:dyDescent="0.2">
      <c r="A348" s="364"/>
      <c r="B348" s="364"/>
      <c r="C348" s="364"/>
      <c r="D348" s="364"/>
      <c r="E348" s="364"/>
      <c r="F348" s="364"/>
      <c r="G348" s="364" t="s">
        <v>439</v>
      </c>
      <c r="H348" s="364"/>
      <c r="I348" s="364"/>
      <c r="J348" s="314">
        <v>723.20540000000005</v>
      </c>
    </row>
    <row r="349" spans="1:10" x14ac:dyDescent="0.2">
      <c r="A349" s="364"/>
      <c r="B349" s="364"/>
      <c r="C349" s="364"/>
      <c r="D349" s="364"/>
      <c r="E349" s="364"/>
      <c r="F349" s="364"/>
      <c r="G349" s="364" t="s">
        <v>440</v>
      </c>
      <c r="H349" s="364"/>
      <c r="I349" s="364"/>
      <c r="J349" s="314">
        <v>0</v>
      </c>
    </row>
    <row r="350" spans="1:10" x14ac:dyDescent="0.2">
      <c r="A350" s="364"/>
      <c r="B350" s="364"/>
      <c r="C350" s="364"/>
      <c r="D350" s="364"/>
      <c r="E350" s="364"/>
      <c r="F350" s="364"/>
      <c r="G350" s="364" t="s">
        <v>441</v>
      </c>
      <c r="H350" s="364"/>
      <c r="I350" s="364"/>
      <c r="J350" s="314">
        <v>0</v>
      </c>
    </row>
    <row r="351" spans="1:10" x14ac:dyDescent="0.2">
      <c r="A351" s="364"/>
      <c r="B351" s="364"/>
      <c r="C351" s="364"/>
      <c r="D351" s="364"/>
      <c r="E351" s="364"/>
      <c r="F351" s="364"/>
      <c r="G351" s="364" t="s">
        <v>442</v>
      </c>
      <c r="H351" s="364"/>
      <c r="I351" s="364"/>
      <c r="J351" s="314">
        <v>21.37</v>
      </c>
    </row>
    <row r="352" spans="1:10" ht="15" customHeight="1" x14ac:dyDescent="0.2">
      <c r="A352" s="364"/>
      <c r="B352" s="364"/>
      <c r="C352" s="364"/>
      <c r="D352" s="364"/>
      <c r="E352" s="364"/>
      <c r="F352" s="364"/>
      <c r="G352" s="364" t="s">
        <v>443</v>
      </c>
      <c r="H352" s="364"/>
      <c r="I352" s="364"/>
      <c r="J352" s="314">
        <v>33.842100000000002</v>
      </c>
    </row>
    <row r="353" spans="1:10" x14ac:dyDescent="0.2">
      <c r="A353" s="317"/>
      <c r="B353" s="317"/>
      <c r="C353" s="317"/>
      <c r="D353" s="317"/>
      <c r="E353" s="317"/>
      <c r="F353" s="318"/>
      <c r="G353" s="317"/>
      <c r="H353" s="318"/>
      <c r="I353" s="317"/>
      <c r="J353" s="318"/>
    </row>
    <row r="354" spans="1:10" ht="15" thickBot="1" x14ac:dyDescent="0.25">
      <c r="A354" s="317"/>
      <c r="B354" s="317"/>
      <c r="C354" s="317"/>
      <c r="D354" s="317"/>
      <c r="E354" s="317" t="s">
        <v>123</v>
      </c>
      <c r="F354" s="318">
        <v>8.02</v>
      </c>
      <c r="G354" s="317"/>
      <c r="H354" s="366" t="s">
        <v>124</v>
      </c>
      <c r="I354" s="366"/>
      <c r="J354" s="318">
        <v>41.86</v>
      </c>
    </row>
    <row r="355" spans="1:10" ht="15" thickTop="1" x14ac:dyDescent="0.2">
      <c r="A355" s="299"/>
      <c r="B355" s="299"/>
      <c r="C355" s="299"/>
      <c r="D355" s="299"/>
      <c r="E355" s="299"/>
      <c r="F355" s="299"/>
      <c r="G355" s="299"/>
      <c r="H355" s="299"/>
      <c r="I355" s="299"/>
      <c r="J355" s="299"/>
    </row>
    <row r="356" spans="1:10" ht="15" x14ac:dyDescent="0.2">
      <c r="A356" s="291"/>
      <c r="B356" s="293" t="s">
        <v>6</v>
      </c>
      <c r="C356" s="291" t="s">
        <v>7</v>
      </c>
      <c r="D356" s="291" t="s">
        <v>8</v>
      </c>
      <c r="E356" s="367" t="s">
        <v>114</v>
      </c>
      <c r="F356" s="367"/>
      <c r="G356" s="292" t="s">
        <v>9</v>
      </c>
      <c r="H356" s="293" t="s">
        <v>10</v>
      </c>
      <c r="I356" s="293" t="s">
        <v>11</v>
      </c>
      <c r="J356" s="293" t="s">
        <v>12</v>
      </c>
    </row>
    <row r="357" spans="1:10" ht="38.25" x14ac:dyDescent="0.2">
      <c r="A357" s="294" t="s">
        <v>115</v>
      </c>
      <c r="B357" s="296" t="s">
        <v>777</v>
      </c>
      <c r="C357" s="294" t="s">
        <v>119</v>
      </c>
      <c r="D357" s="294" t="s">
        <v>748</v>
      </c>
      <c r="E357" s="373" t="s">
        <v>121</v>
      </c>
      <c r="F357" s="373"/>
      <c r="G357" s="295" t="s">
        <v>98</v>
      </c>
      <c r="H357" s="298">
        <v>1</v>
      </c>
      <c r="I357" s="297">
        <v>7.61</v>
      </c>
      <c r="J357" s="297">
        <v>7.61</v>
      </c>
    </row>
    <row r="358" spans="1:10" ht="15" x14ac:dyDescent="0.2">
      <c r="A358" s="367" t="s">
        <v>428</v>
      </c>
      <c r="B358" s="363" t="s">
        <v>6</v>
      </c>
      <c r="C358" s="367" t="s">
        <v>7</v>
      </c>
      <c r="D358" s="367" t="s">
        <v>429</v>
      </c>
      <c r="E358" s="363" t="s">
        <v>430</v>
      </c>
      <c r="F358" s="375" t="s">
        <v>431</v>
      </c>
      <c r="G358" s="363"/>
      <c r="H358" s="375" t="s">
        <v>432</v>
      </c>
      <c r="I358" s="363"/>
      <c r="J358" s="363" t="s">
        <v>433</v>
      </c>
    </row>
    <row r="359" spans="1:10" ht="15" x14ac:dyDescent="0.2">
      <c r="A359" s="363"/>
      <c r="B359" s="363"/>
      <c r="C359" s="363"/>
      <c r="D359" s="363"/>
      <c r="E359" s="363"/>
      <c r="F359" s="293" t="s">
        <v>434</v>
      </c>
      <c r="G359" s="293" t="s">
        <v>435</v>
      </c>
      <c r="H359" s="293" t="s">
        <v>434</v>
      </c>
      <c r="I359" s="293" t="s">
        <v>435</v>
      </c>
      <c r="J359" s="363"/>
    </row>
    <row r="360" spans="1:10" x14ac:dyDescent="0.2">
      <c r="A360" s="306" t="s">
        <v>130</v>
      </c>
      <c r="B360" s="308" t="s">
        <v>763</v>
      </c>
      <c r="C360" s="306" t="s">
        <v>119</v>
      </c>
      <c r="D360" s="306" t="s">
        <v>764</v>
      </c>
      <c r="E360" s="311">
        <v>3</v>
      </c>
      <c r="F360" s="309">
        <v>0.81</v>
      </c>
      <c r="G360" s="309">
        <v>0.19</v>
      </c>
      <c r="H360" s="310">
        <v>292.44139999999999</v>
      </c>
      <c r="I360" s="310">
        <v>82.760599999999997</v>
      </c>
      <c r="J360" s="310">
        <v>757.80610000000001</v>
      </c>
    </row>
    <row r="361" spans="1:10" ht="15" customHeight="1" x14ac:dyDescent="0.2">
      <c r="A361" s="364"/>
      <c r="B361" s="364"/>
      <c r="C361" s="364"/>
      <c r="D361" s="364"/>
      <c r="E361" s="364"/>
      <c r="F361" s="364"/>
      <c r="G361" s="364" t="s">
        <v>438</v>
      </c>
      <c r="H361" s="364"/>
      <c r="I361" s="364"/>
      <c r="J361" s="314">
        <v>757.80610000000001</v>
      </c>
    </row>
    <row r="362" spans="1:10" x14ac:dyDescent="0.2">
      <c r="A362" s="364"/>
      <c r="B362" s="364"/>
      <c r="C362" s="364"/>
      <c r="D362" s="364"/>
      <c r="E362" s="364"/>
      <c r="F362" s="364"/>
      <c r="G362" s="364" t="s">
        <v>439</v>
      </c>
      <c r="H362" s="364"/>
      <c r="I362" s="364"/>
      <c r="J362" s="314">
        <v>757.80610000000001</v>
      </c>
    </row>
    <row r="363" spans="1:10" x14ac:dyDescent="0.2">
      <c r="A363" s="364"/>
      <c r="B363" s="364"/>
      <c r="C363" s="364"/>
      <c r="D363" s="364"/>
      <c r="E363" s="364"/>
      <c r="F363" s="364"/>
      <c r="G363" s="364" t="s">
        <v>440</v>
      </c>
      <c r="H363" s="364"/>
      <c r="I363" s="364"/>
      <c r="J363" s="314">
        <v>0</v>
      </c>
    </row>
    <row r="364" spans="1:10" x14ac:dyDescent="0.2">
      <c r="A364" s="364"/>
      <c r="B364" s="364"/>
      <c r="C364" s="364"/>
      <c r="D364" s="364"/>
      <c r="E364" s="364"/>
      <c r="F364" s="364"/>
      <c r="G364" s="364" t="s">
        <v>441</v>
      </c>
      <c r="H364" s="364"/>
      <c r="I364" s="364"/>
      <c r="J364" s="314">
        <v>0</v>
      </c>
    </row>
    <row r="365" spans="1:10" x14ac:dyDescent="0.2">
      <c r="A365" s="364"/>
      <c r="B365" s="364"/>
      <c r="C365" s="364"/>
      <c r="D365" s="364"/>
      <c r="E365" s="364"/>
      <c r="F365" s="364"/>
      <c r="G365" s="364" t="s">
        <v>442</v>
      </c>
      <c r="H365" s="364"/>
      <c r="I365" s="364"/>
      <c r="J365" s="314">
        <v>99.6</v>
      </c>
    </row>
    <row r="366" spans="1:10" x14ac:dyDescent="0.2">
      <c r="A366" s="364"/>
      <c r="B366" s="364"/>
      <c r="C366" s="364"/>
      <c r="D366" s="364"/>
      <c r="E366" s="364"/>
      <c r="F366" s="364"/>
      <c r="G366" s="364" t="s">
        <v>443</v>
      </c>
      <c r="H366" s="364"/>
      <c r="I366" s="364"/>
      <c r="J366" s="314">
        <v>7.6085000000000003</v>
      </c>
    </row>
    <row r="367" spans="1:10" ht="15" customHeight="1" x14ac:dyDescent="0.2">
      <c r="A367" s="317"/>
      <c r="B367" s="317"/>
      <c r="C367" s="317"/>
      <c r="D367" s="317"/>
      <c r="E367" s="317"/>
      <c r="F367" s="318"/>
      <c r="G367" s="317"/>
      <c r="H367" s="318"/>
      <c r="I367" s="317"/>
      <c r="J367" s="318"/>
    </row>
    <row r="368" spans="1:10" ht="15" thickBot="1" x14ac:dyDescent="0.25">
      <c r="A368" s="317"/>
      <c r="B368" s="317"/>
      <c r="C368" s="317"/>
      <c r="D368" s="317"/>
      <c r="E368" s="317" t="s">
        <v>123</v>
      </c>
      <c r="F368" s="318">
        <v>1.8</v>
      </c>
      <c r="G368" s="317"/>
      <c r="H368" s="366" t="s">
        <v>124</v>
      </c>
      <c r="I368" s="366"/>
      <c r="J368" s="318">
        <v>9.41</v>
      </c>
    </row>
    <row r="369" spans="1:10" ht="15" thickTop="1" x14ac:dyDescent="0.2">
      <c r="A369" s="299"/>
      <c r="B369" s="299"/>
      <c r="C369" s="299"/>
      <c r="D369" s="299"/>
      <c r="E369" s="299"/>
      <c r="F369" s="299"/>
      <c r="G369" s="299"/>
      <c r="H369" s="299"/>
      <c r="I369" s="299"/>
      <c r="J369" s="299"/>
    </row>
    <row r="370" spans="1:10" ht="15" x14ac:dyDescent="0.2">
      <c r="A370" s="291"/>
      <c r="B370" s="293" t="s">
        <v>6</v>
      </c>
      <c r="C370" s="291" t="s">
        <v>7</v>
      </c>
      <c r="D370" s="291" t="s">
        <v>8</v>
      </c>
      <c r="E370" s="367" t="s">
        <v>114</v>
      </c>
      <c r="F370" s="367"/>
      <c r="G370" s="292" t="s">
        <v>9</v>
      </c>
      <c r="H370" s="293" t="s">
        <v>10</v>
      </c>
      <c r="I370" s="293" t="s">
        <v>11</v>
      </c>
      <c r="J370" s="293" t="s">
        <v>12</v>
      </c>
    </row>
    <row r="371" spans="1:10" x14ac:dyDescent="0.2">
      <c r="A371" s="294" t="s">
        <v>115</v>
      </c>
      <c r="B371" s="296" t="s">
        <v>140</v>
      </c>
      <c r="C371" s="294" t="s">
        <v>38</v>
      </c>
      <c r="D371" s="294" t="s">
        <v>141</v>
      </c>
      <c r="E371" s="373" t="s">
        <v>116</v>
      </c>
      <c r="F371" s="373"/>
      <c r="G371" s="295" t="s">
        <v>127</v>
      </c>
      <c r="H371" s="298">
        <v>1</v>
      </c>
      <c r="I371" s="297">
        <v>19.78</v>
      </c>
      <c r="J371" s="297">
        <v>19.78</v>
      </c>
    </row>
    <row r="372" spans="1:10" ht="25.5" x14ac:dyDescent="0.2">
      <c r="A372" s="300" t="s">
        <v>117</v>
      </c>
      <c r="B372" s="302" t="s">
        <v>217</v>
      </c>
      <c r="C372" s="300" t="s">
        <v>38</v>
      </c>
      <c r="D372" s="300" t="s">
        <v>218</v>
      </c>
      <c r="E372" s="368" t="s">
        <v>116</v>
      </c>
      <c r="F372" s="368"/>
      <c r="G372" s="301" t="s">
        <v>127</v>
      </c>
      <c r="H372" s="305">
        <v>1</v>
      </c>
      <c r="I372" s="303">
        <v>7.0000000000000007E-2</v>
      </c>
      <c r="J372" s="303">
        <v>7.0000000000000007E-2</v>
      </c>
    </row>
    <row r="373" spans="1:10" ht="15" customHeight="1" x14ac:dyDescent="0.2">
      <c r="A373" s="306" t="s">
        <v>130</v>
      </c>
      <c r="B373" s="308" t="s">
        <v>219</v>
      </c>
      <c r="C373" s="306" t="s">
        <v>38</v>
      </c>
      <c r="D373" s="306" t="s">
        <v>220</v>
      </c>
      <c r="E373" s="365" t="s">
        <v>160</v>
      </c>
      <c r="F373" s="365"/>
      <c r="G373" s="307" t="s">
        <v>127</v>
      </c>
      <c r="H373" s="311">
        <v>1</v>
      </c>
      <c r="I373" s="309">
        <v>18.100000000000001</v>
      </c>
      <c r="J373" s="309">
        <v>18.100000000000001</v>
      </c>
    </row>
    <row r="374" spans="1:10" ht="25.5" x14ac:dyDescent="0.2">
      <c r="A374" s="306" t="s">
        <v>130</v>
      </c>
      <c r="B374" s="308" t="s">
        <v>221</v>
      </c>
      <c r="C374" s="306" t="s">
        <v>38</v>
      </c>
      <c r="D374" s="306" t="s">
        <v>222</v>
      </c>
      <c r="E374" s="365" t="s">
        <v>148</v>
      </c>
      <c r="F374" s="365"/>
      <c r="G374" s="307" t="s">
        <v>127</v>
      </c>
      <c r="H374" s="311">
        <v>1</v>
      </c>
      <c r="I374" s="309">
        <v>0.69</v>
      </c>
      <c r="J374" s="309">
        <v>0.69</v>
      </c>
    </row>
    <row r="375" spans="1:10" x14ac:dyDescent="0.2">
      <c r="A375" s="306" t="s">
        <v>130</v>
      </c>
      <c r="B375" s="308" t="s">
        <v>223</v>
      </c>
      <c r="C375" s="306" t="s">
        <v>38</v>
      </c>
      <c r="D375" s="306" t="s">
        <v>224</v>
      </c>
      <c r="E375" s="365" t="s">
        <v>225</v>
      </c>
      <c r="F375" s="365"/>
      <c r="G375" s="307" t="s">
        <v>127</v>
      </c>
      <c r="H375" s="311">
        <v>1</v>
      </c>
      <c r="I375" s="309">
        <v>0.81</v>
      </c>
      <c r="J375" s="309">
        <v>0.81</v>
      </c>
    </row>
    <row r="376" spans="1:10" ht="25.5" x14ac:dyDescent="0.2">
      <c r="A376" s="306" t="s">
        <v>130</v>
      </c>
      <c r="B376" s="308" t="s">
        <v>226</v>
      </c>
      <c r="C376" s="306" t="s">
        <v>38</v>
      </c>
      <c r="D376" s="306" t="s">
        <v>227</v>
      </c>
      <c r="E376" s="365" t="s">
        <v>148</v>
      </c>
      <c r="F376" s="365"/>
      <c r="G376" s="307" t="s">
        <v>127</v>
      </c>
      <c r="H376" s="311">
        <v>1</v>
      </c>
      <c r="I376" s="309">
        <v>0.05</v>
      </c>
      <c r="J376" s="309">
        <v>0.05</v>
      </c>
    </row>
    <row r="377" spans="1:10" x14ac:dyDescent="0.2">
      <c r="A377" s="306" t="s">
        <v>130</v>
      </c>
      <c r="B377" s="308" t="s">
        <v>228</v>
      </c>
      <c r="C377" s="306" t="s">
        <v>38</v>
      </c>
      <c r="D377" s="306" t="s">
        <v>229</v>
      </c>
      <c r="E377" s="365" t="s">
        <v>230</v>
      </c>
      <c r="F377" s="365"/>
      <c r="G377" s="307" t="s">
        <v>127</v>
      </c>
      <c r="H377" s="311">
        <v>1</v>
      </c>
      <c r="I377" s="309">
        <v>0.06</v>
      </c>
      <c r="J377" s="309">
        <v>0.06</v>
      </c>
    </row>
    <row r="378" spans="1:10" x14ac:dyDescent="0.2">
      <c r="A378" s="317"/>
      <c r="B378" s="317"/>
      <c r="C378" s="317"/>
      <c r="D378" s="317"/>
      <c r="E378" s="317"/>
      <c r="F378" s="318"/>
      <c r="G378" s="317"/>
      <c r="H378" s="318"/>
      <c r="I378" s="317"/>
      <c r="J378" s="318"/>
    </row>
    <row r="379" spans="1:10" ht="15" customHeight="1" thickBot="1" x14ac:dyDescent="0.25">
      <c r="A379" s="317"/>
      <c r="B379" s="317"/>
      <c r="C379" s="317"/>
      <c r="D379" s="317"/>
      <c r="E379" s="317" t="s">
        <v>123</v>
      </c>
      <c r="F379" s="318">
        <v>4.68</v>
      </c>
      <c r="G379" s="317"/>
      <c r="H379" s="366" t="s">
        <v>124</v>
      </c>
      <c r="I379" s="366"/>
      <c r="J379" s="318">
        <v>24.46</v>
      </c>
    </row>
    <row r="380" spans="1:10" ht="15" thickTop="1" x14ac:dyDescent="0.2">
      <c r="A380" s="299"/>
      <c r="B380" s="299"/>
      <c r="C380" s="299"/>
      <c r="D380" s="299"/>
      <c r="E380" s="299"/>
      <c r="F380" s="299"/>
      <c r="G380" s="299"/>
      <c r="H380" s="299"/>
      <c r="I380" s="299"/>
      <c r="J380" s="299"/>
    </row>
    <row r="381" spans="1:10" ht="15" x14ac:dyDescent="0.2">
      <c r="A381" s="291"/>
      <c r="B381" s="293" t="s">
        <v>6</v>
      </c>
      <c r="C381" s="291" t="s">
        <v>7</v>
      </c>
      <c r="D381" s="291" t="s">
        <v>8</v>
      </c>
      <c r="E381" s="367" t="s">
        <v>114</v>
      </c>
      <c r="F381" s="367"/>
      <c r="G381" s="292" t="s">
        <v>9</v>
      </c>
      <c r="H381" s="293" t="s">
        <v>10</v>
      </c>
      <c r="I381" s="293" t="s">
        <v>11</v>
      </c>
      <c r="J381" s="293" t="s">
        <v>12</v>
      </c>
    </row>
    <row r="382" spans="1:10" x14ac:dyDescent="0.2">
      <c r="A382" s="294" t="s">
        <v>115</v>
      </c>
      <c r="B382" s="296" t="s">
        <v>144</v>
      </c>
      <c r="C382" s="294" t="s">
        <v>38</v>
      </c>
      <c r="D382" s="294" t="s">
        <v>145</v>
      </c>
      <c r="E382" s="373" t="s">
        <v>116</v>
      </c>
      <c r="F382" s="373"/>
      <c r="G382" s="295" t="s">
        <v>127</v>
      </c>
      <c r="H382" s="298">
        <v>1</v>
      </c>
      <c r="I382" s="297">
        <v>28.11</v>
      </c>
      <c r="J382" s="297">
        <v>28.11</v>
      </c>
    </row>
    <row r="383" spans="1:10" ht="25.5" x14ac:dyDescent="0.2">
      <c r="A383" s="300" t="s">
        <v>117</v>
      </c>
      <c r="B383" s="302" t="s">
        <v>231</v>
      </c>
      <c r="C383" s="300" t="s">
        <v>38</v>
      </c>
      <c r="D383" s="300" t="s">
        <v>232</v>
      </c>
      <c r="E383" s="368" t="s">
        <v>116</v>
      </c>
      <c r="F383" s="368"/>
      <c r="G383" s="301" t="s">
        <v>127</v>
      </c>
      <c r="H383" s="305">
        <v>1</v>
      </c>
      <c r="I383" s="303">
        <v>0.17</v>
      </c>
      <c r="J383" s="303">
        <v>0.17</v>
      </c>
    </row>
    <row r="384" spans="1:10" x14ac:dyDescent="0.2">
      <c r="A384" s="306" t="s">
        <v>130</v>
      </c>
      <c r="B384" s="308" t="s">
        <v>233</v>
      </c>
      <c r="C384" s="306" t="s">
        <v>38</v>
      </c>
      <c r="D384" s="306" t="s">
        <v>234</v>
      </c>
      <c r="E384" s="365" t="s">
        <v>160</v>
      </c>
      <c r="F384" s="365"/>
      <c r="G384" s="307" t="s">
        <v>127</v>
      </c>
      <c r="H384" s="311">
        <v>1</v>
      </c>
      <c r="I384" s="309">
        <v>26.33</v>
      </c>
      <c r="J384" s="309">
        <v>26.33</v>
      </c>
    </row>
    <row r="385" spans="1:10" ht="26.25" customHeight="1" x14ac:dyDescent="0.2">
      <c r="A385" s="306" t="s">
        <v>130</v>
      </c>
      <c r="B385" s="308" t="s">
        <v>221</v>
      </c>
      <c r="C385" s="306" t="s">
        <v>38</v>
      </c>
      <c r="D385" s="306" t="s">
        <v>222</v>
      </c>
      <c r="E385" s="365" t="s">
        <v>148</v>
      </c>
      <c r="F385" s="365"/>
      <c r="G385" s="307" t="s">
        <v>127</v>
      </c>
      <c r="H385" s="311">
        <v>1</v>
      </c>
      <c r="I385" s="309">
        <v>0.69</v>
      </c>
      <c r="J385" s="309">
        <v>0.69</v>
      </c>
    </row>
    <row r="386" spans="1:10" x14ac:dyDescent="0.2">
      <c r="A386" s="306" t="s">
        <v>130</v>
      </c>
      <c r="B386" s="308" t="s">
        <v>223</v>
      </c>
      <c r="C386" s="306" t="s">
        <v>38</v>
      </c>
      <c r="D386" s="306" t="s">
        <v>224</v>
      </c>
      <c r="E386" s="365" t="s">
        <v>225</v>
      </c>
      <c r="F386" s="365"/>
      <c r="G386" s="307" t="s">
        <v>127</v>
      </c>
      <c r="H386" s="311">
        <v>1</v>
      </c>
      <c r="I386" s="309">
        <v>0.81</v>
      </c>
      <c r="J386" s="309">
        <v>0.81</v>
      </c>
    </row>
    <row r="387" spans="1:10" ht="25.5" x14ac:dyDescent="0.2">
      <c r="A387" s="306" t="s">
        <v>130</v>
      </c>
      <c r="B387" s="308" t="s">
        <v>226</v>
      </c>
      <c r="C387" s="306" t="s">
        <v>38</v>
      </c>
      <c r="D387" s="306" t="s">
        <v>227</v>
      </c>
      <c r="E387" s="365" t="s">
        <v>148</v>
      </c>
      <c r="F387" s="365"/>
      <c r="G387" s="307" t="s">
        <v>127</v>
      </c>
      <c r="H387" s="311">
        <v>1</v>
      </c>
      <c r="I387" s="309">
        <v>0.05</v>
      </c>
      <c r="J387" s="309">
        <v>0.05</v>
      </c>
    </row>
    <row r="388" spans="1:10" x14ac:dyDescent="0.2">
      <c r="A388" s="306" t="s">
        <v>130</v>
      </c>
      <c r="B388" s="308" t="s">
        <v>228</v>
      </c>
      <c r="C388" s="306" t="s">
        <v>38</v>
      </c>
      <c r="D388" s="306" t="s">
        <v>229</v>
      </c>
      <c r="E388" s="365" t="s">
        <v>230</v>
      </c>
      <c r="F388" s="365"/>
      <c r="G388" s="307" t="s">
        <v>127</v>
      </c>
      <c r="H388" s="311">
        <v>1</v>
      </c>
      <c r="I388" s="309">
        <v>0.06</v>
      </c>
      <c r="J388" s="309">
        <v>0.06</v>
      </c>
    </row>
    <row r="389" spans="1:10" x14ac:dyDescent="0.2">
      <c r="A389" s="317"/>
      <c r="B389" s="317"/>
      <c r="C389" s="317"/>
      <c r="D389" s="317"/>
      <c r="E389" s="317"/>
      <c r="F389" s="318"/>
      <c r="G389" s="317"/>
      <c r="H389" s="318"/>
      <c r="I389" s="317"/>
      <c r="J389" s="318"/>
    </row>
    <row r="390" spans="1:10" ht="15" thickBot="1" x14ac:dyDescent="0.25">
      <c r="A390" s="317"/>
      <c r="B390" s="317"/>
      <c r="C390" s="317"/>
      <c r="D390" s="317"/>
      <c r="E390" s="317" t="s">
        <v>123</v>
      </c>
      <c r="F390" s="318">
        <v>6.66</v>
      </c>
      <c r="G390" s="317"/>
      <c r="H390" s="366" t="s">
        <v>124</v>
      </c>
      <c r="I390" s="366"/>
      <c r="J390" s="318">
        <v>34.770000000000003</v>
      </c>
    </row>
    <row r="391" spans="1:10" ht="15" thickTop="1" x14ac:dyDescent="0.2">
      <c r="A391" s="299"/>
      <c r="B391" s="299"/>
      <c r="C391" s="299"/>
      <c r="D391" s="299"/>
      <c r="E391" s="299"/>
      <c r="F391" s="299"/>
      <c r="G391" s="299"/>
      <c r="H391" s="299"/>
      <c r="I391" s="299"/>
      <c r="J391" s="299"/>
    </row>
    <row r="392" spans="1:10" ht="15" x14ac:dyDescent="0.2">
      <c r="A392" s="291"/>
      <c r="B392" s="293" t="s">
        <v>6</v>
      </c>
      <c r="C392" s="291" t="s">
        <v>7</v>
      </c>
      <c r="D392" s="291" t="s">
        <v>8</v>
      </c>
      <c r="E392" s="367" t="s">
        <v>114</v>
      </c>
      <c r="F392" s="367"/>
      <c r="G392" s="292" t="s">
        <v>9</v>
      </c>
      <c r="H392" s="293" t="s">
        <v>10</v>
      </c>
      <c r="I392" s="293" t="s">
        <v>11</v>
      </c>
      <c r="J392" s="293" t="s">
        <v>12</v>
      </c>
    </row>
    <row r="393" spans="1:10" ht="25.5" x14ac:dyDescent="0.2">
      <c r="A393" s="294" t="s">
        <v>115</v>
      </c>
      <c r="B393" s="296" t="s">
        <v>196</v>
      </c>
      <c r="C393" s="294" t="s">
        <v>19</v>
      </c>
      <c r="D393" s="294" t="s">
        <v>197</v>
      </c>
      <c r="E393" s="373" t="s">
        <v>198</v>
      </c>
      <c r="F393" s="373"/>
      <c r="G393" s="295" t="s">
        <v>21</v>
      </c>
      <c r="H393" s="298">
        <v>1</v>
      </c>
      <c r="I393" s="297">
        <v>198.95</v>
      </c>
      <c r="J393" s="297">
        <v>198.95</v>
      </c>
    </row>
    <row r="394" spans="1:10" ht="38.25" x14ac:dyDescent="0.2">
      <c r="A394" s="300" t="s">
        <v>117</v>
      </c>
      <c r="B394" s="302" t="s">
        <v>235</v>
      </c>
      <c r="C394" s="300" t="s">
        <v>19</v>
      </c>
      <c r="D394" s="300" t="s">
        <v>236</v>
      </c>
      <c r="E394" s="368" t="s">
        <v>237</v>
      </c>
      <c r="F394" s="368"/>
      <c r="G394" s="301" t="s">
        <v>49</v>
      </c>
      <c r="H394" s="305">
        <v>7.9000000000000001E-2</v>
      </c>
      <c r="I394" s="303">
        <v>596.20000000000005</v>
      </c>
      <c r="J394" s="303">
        <v>47.09</v>
      </c>
    </row>
    <row r="395" spans="1:10" ht="25.5" x14ac:dyDescent="0.2">
      <c r="A395" s="300" t="s">
        <v>117</v>
      </c>
      <c r="B395" s="302" t="s">
        <v>238</v>
      </c>
      <c r="C395" s="300" t="s">
        <v>19</v>
      </c>
      <c r="D395" s="300" t="s">
        <v>239</v>
      </c>
      <c r="E395" s="368" t="s">
        <v>240</v>
      </c>
      <c r="F395" s="368"/>
      <c r="G395" s="301" t="s">
        <v>149</v>
      </c>
      <c r="H395" s="305">
        <v>1.81</v>
      </c>
      <c r="I395" s="303">
        <v>3.7</v>
      </c>
      <c r="J395" s="303">
        <v>6.69</v>
      </c>
    </row>
    <row r="396" spans="1:10" ht="25.5" x14ac:dyDescent="0.2">
      <c r="A396" s="300" t="s">
        <v>117</v>
      </c>
      <c r="B396" s="302" t="s">
        <v>241</v>
      </c>
      <c r="C396" s="300" t="s">
        <v>19</v>
      </c>
      <c r="D396" s="300" t="s">
        <v>242</v>
      </c>
      <c r="E396" s="368" t="s">
        <v>240</v>
      </c>
      <c r="F396" s="368"/>
      <c r="G396" s="301" t="s">
        <v>149</v>
      </c>
      <c r="H396" s="305">
        <v>2.42</v>
      </c>
      <c r="I396" s="303">
        <v>3.56</v>
      </c>
      <c r="J396" s="303">
        <v>8.61</v>
      </c>
    </row>
    <row r="397" spans="1:10" x14ac:dyDescent="0.2">
      <c r="A397" s="306" t="s">
        <v>130</v>
      </c>
      <c r="B397" s="308" t="s">
        <v>243</v>
      </c>
      <c r="C397" s="306" t="s">
        <v>19</v>
      </c>
      <c r="D397" s="306" t="s">
        <v>244</v>
      </c>
      <c r="E397" s="365" t="s">
        <v>61</v>
      </c>
      <c r="F397" s="365"/>
      <c r="G397" s="307" t="s">
        <v>191</v>
      </c>
      <c r="H397" s="311">
        <v>130</v>
      </c>
      <c r="I397" s="309">
        <v>0.5</v>
      </c>
      <c r="J397" s="309">
        <v>65</v>
      </c>
    </row>
    <row r="398" spans="1:10" ht="15" customHeight="1" x14ac:dyDescent="0.2">
      <c r="A398" s="306" t="s">
        <v>130</v>
      </c>
      <c r="B398" s="308" t="s">
        <v>245</v>
      </c>
      <c r="C398" s="306" t="s">
        <v>38</v>
      </c>
      <c r="D398" s="306" t="s">
        <v>246</v>
      </c>
      <c r="E398" s="365" t="s">
        <v>160</v>
      </c>
      <c r="F398" s="365"/>
      <c r="G398" s="307" t="s">
        <v>127</v>
      </c>
      <c r="H398" s="311">
        <v>2.42</v>
      </c>
      <c r="I398" s="309">
        <v>20.52</v>
      </c>
      <c r="J398" s="309">
        <v>49.65</v>
      </c>
    </row>
    <row r="399" spans="1:10" x14ac:dyDescent="0.2">
      <c r="A399" s="306" t="s">
        <v>130</v>
      </c>
      <c r="B399" s="308" t="s">
        <v>247</v>
      </c>
      <c r="C399" s="306" t="s">
        <v>38</v>
      </c>
      <c r="D399" s="306" t="s">
        <v>248</v>
      </c>
      <c r="E399" s="365" t="s">
        <v>160</v>
      </c>
      <c r="F399" s="365"/>
      <c r="G399" s="307" t="s">
        <v>127</v>
      </c>
      <c r="H399" s="311">
        <v>1.81</v>
      </c>
      <c r="I399" s="309">
        <v>12.11</v>
      </c>
      <c r="J399" s="309">
        <v>21.91</v>
      </c>
    </row>
    <row r="400" spans="1:10" x14ac:dyDescent="0.2">
      <c r="A400" s="317"/>
      <c r="B400" s="317"/>
      <c r="C400" s="317"/>
      <c r="D400" s="317"/>
      <c r="E400" s="317"/>
      <c r="F400" s="318"/>
      <c r="G400" s="317"/>
      <c r="H400" s="318"/>
      <c r="I400" s="317"/>
      <c r="J400" s="318"/>
    </row>
    <row r="401" spans="1:10" ht="15" thickBot="1" x14ac:dyDescent="0.25">
      <c r="A401" s="317"/>
      <c r="B401" s="317"/>
      <c r="C401" s="317"/>
      <c r="D401" s="317"/>
      <c r="E401" s="317" t="s">
        <v>123</v>
      </c>
      <c r="F401" s="318">
        <v>47.15</v>
      </c>
      <c r="G401" s="317"/>
      <c r="H401" s="366" t="s">
        <v>124</v>
      </c>
      <c r="I401" s="366"/>
      <c r="J401" s="318">
        <v>246.1</v>
      </c>
    </row>
    <row r="402" spans="1:10" ht="15" thickTop="1" x14ac:dyDescent="0.2">
      <c r="A402" s="299"/>
      <c r="B402" s="299"/>
      <c r="C402" s="299"/>
      <c r="D402" s="299"/>
      <c r="E402" s="299"/>
      <c r="F402" s="299"/>
      <c r="G402" s="299"/>
      <c r="H402" s="299"/>
      <c r="I402" s="299"/>
      <c r="J402" s="299"/>
    </row>
    <row r="403" spans="1:10" ht="15" x14ac:dyDescent="0.2">
      <c r="A403" s="291"/>
      <c r="B403" s="293" t="s">
        <v>6</v>
      </c>
      <c r="C403" s="291" t="s">
        <v>7</v>
      </c>
      <c r="D403" s="291" t="s">
        <v>8</v>
      </c>
      <c r="E403" s="367" t="s">
        <v>114</v>
      </c>
      <c r="F403" s="367"/>
      <c r="G403" s="292" t="s">
        <v>9</v>
      </c>
      <c r="H403" s="293" t="s">
        <v>10</v>
      </c>
      <c r="I403" s="293" t="s">
        <v>11</v>
      </c>
      <c r="J403" s="293" t="s">
        <v>12</v>
      </c>
    </row>
    <row r="404" spans="1:10" ht="25.5" x14ac:dyDescent="0.2">
      <c r="A404" s="294" t="s">
        <v>115</v>
      </c>
      <c r="B404" s="296" t="s">
        <v>199</v>
      </c>
      <c r="C404" s="294" t="s">
        <v>19</v>
      </c>
      <c r="D404" s="294" t="s">
        <v>200</v>
      </c>
      <c r="E404" s="373" t="s">
        <v>201</v>
      </c>
      <c r="F404" s="373"/>
      <c r="G404" s="295" t="s">
        <v>49</v>
      </c>
      <c r="H404" s="298">
        <v>1</v>
      </c>
      <c r="I404" s="297">
        <v>580.85</v>
      </c>
      <c r="J404" s="297">
        <v>580.85</v>
      </c>
    </row>
    <row r="405" spans="1:10" ht="25.5" x14ac:dyDescent="0.2">
      <c r="A405" s="300" t="s">
        <v>117</v>
      </c>
      <c r="B405" s="302" t="s">
        <v>238</v>
      </c>
      <c r="C405" s="300" t="s">
        <v>19</v>
      </c>
      <c r="D405" s="300" t="s">
        <v>239</v>
      </c>
      <c r="E405" s="368" t="s">
        <v>240</v>
      </c>
      <c r="F405" s="368"/>
      <c r="G405" s="301" t="s">
        <v>149</v>
      </c>
      <c r="H405" s="305">
        <v>4</v>
      </c>
      <c r="I405" s="303">
        <v>3.7</v>
      </c>
      <c r="J405" s="303">
        <v>14.8</v>
      </c>
    </row>
    <row r="406" spans="1:10" ht="25.5" x14ac:dyDescent="0.2">
      <c r="A406" s="306" t="s">
        <v>130</v>
      </c>
      <c r="B406" s="308" t="s">
        <v>213</v>
      </c>
      <c r="C406" s="306" t="s">
        <v>38</v>
      </c>
      <c r="D406" s="306" t="s">
        <v>214</v>
      </c>
      <c r="E406" s="365" t="s">
        <v>61</v>
      </c>
      <c r="F406" s="365"/>
      <c r="G406" s="307" t="s">
        <v>49</v>
      </c>
      <c r="H406" s="311">
        <v>1.08</v>
      </c>
      <c r="I406" s="309">
        <v>115</v>
      </c>
      <c r="J406" s="309">
        <v>124.2</v>
      </c>
    </row>
    <row r="407" spans="1:10" ht="15" customHeight="1" x14ac:dyDescent="0.2">
      <c r="A407" s="306" t="s">
        <v>130</v>
      </c>
      <c r="B407" s="308" t="s">
        <v>215</v>
      </c>
      <c r="C407" s="306" t="s">
        <v>38</v>
      </c>
      <c r="D407" s="306" t="s">
        <v>216</v>
      </c>
      <c r="E407" s="365" t="s">
        <v>61</v>
      </c>
      <c r="F407" s="365"/>
      <c r="G407" s="307" t="s">
        <v>41</v>
      </c>
      <c r="H407" s="311">
        <v>452.2</v>
      </c>
      <c r="I407" s="309">
        <v>0.87</v>
      </c>
      <c r="J407" s="309">
        <v>393.41</v>
      </c>
    </row>
    <row r="408" spans="1:10" x14ac:dyDescent="0.2">
      <c r="A408" s="306" t="s">
        <v>130</v>
      </c>
      <c r="B408" s="308" t="s">
        <v>247</v>
      </c>
      <c r="C408" s="306" t="s">
        <v>38</v>
      </c>
      <c r="D408" s="306" t="s">
        <v>248</v>
      </c>
      <c r="E408" s="365" t="s">
        <v>160</v>
      </c>
      <c r="F408" s="365"/>
      <c r="G408" s="307" t="s">
        <v>127</v>
      </c>
      <c r="H408" s="311">
        <v>4</v>
      </c>
      <c r="I408" s="309">
        <v>12.11</v>
      </c>
      <c r="J408" s="309">
        <v>48.44</v>
      </c>
    </row>
    <row r="409" spans="1:10" x14ac:dyDescent="0.2">
      <c r="A409" s="317"/>
      <c r="B409" s="317"/>
      <c r="C409" s="317"/>
      <c r="D409" s="317"/>
      <c r="E409" s="317"/>
      <c r="F409" s="318"/>
      <c r="G409" s="317"/>
      <c r="H409" s="318"/>
      <c r="I409" s="317"/>
      <c r="J409" s="318"/>
    </row>
    <row r="410" spans="1:10" ht="15" thickBot="1" x14ac:dyDescent="0.25">
      <c r="A410" s="317"/>
      <c r="B410" s="317"/>
      <c r="C410" s="317"/>
      <c r="D410" s="317"/>
      <c r="E410" s="317" t="s">
        <v>123</v>
      </c>
      <c r="F410" s="318">
        <v>137.66</v>
      </c>
      <c r="G410" s="317"/>
      <c r="H410" s="366" t="s">
        <v>124</v>
      </c>
      <c r="I410" s="366"/>
      <c r="J410" s="318">
        <v>718.51</v>
      </c>
    </row>
    <row r="411" spans="1:10" ht="15" thickTop="1" x14ac:dyDescent="0.2">
      <c r="A411" s="299"/>
      <c r="B411" s="299"/>
      <c r="C411" s="299"/>
      <c r="D411" s="299"/>
      <c r="E411" s="299"/>
      <c r="F411" s="299"/>
      <c r="G411" s="299"/>
      <c r="H411" s="299"/>
      <c r="I411" s="299"/>
      <c r="J411" s="299"/>
    </row>
    <row r="412" spans="1:10" ht="15" x14ac:dyDescent="0.2">
      <c r="A412" s="291"/>
      <c r="B412" s="293" t="s">
        <v>6</v>
      </c>
      <c r="C412" s="291" t="s">
        <v>7</v>
      </c>
      <c r="D412" s="291" t="s">
        <v>8</v>
      </c>
      <c r="E412" s="367" t="s">
        <v>114</v>
      </c>
      <c r="F412" s="367"/>
      <c r="G412" s="292" t="s">
        <v>9</v>
      </c>
      <c r="H412" s="293" t="s">
        <v>10</v>
      </c>
      <c r="I412" s="293" t="s">
        <v>11</v>
      </c>
      <c r="J412" s="293" t="s">
        <v>12</v>
      </c>
    </row>
    <row r="413" spans="1:10" ht="38.25" x14ac:dyDescent="0.2">
      <c r="A413" s="294" t="s">
        <v>115</v>
      </c>
      <c r="B413" s="296" t="s">
        <v>235</v>
      </c>
      <c r="C413" s="294" t="s">
        <v>19</v>
      </c>
      <c r="D413" s="294" t="s">
        <v>236</v>
      </c>
      <c r="E413" s="373" t="s">
        <v>237</v>
      </c>
      <c r="F413" s="373"/>
      <c r="G413" s="295" t="s">
        <v>49</v>
      </c>
      <c r="H413" s="298">
        <v>1</v>
      </c>
      <c r="I413" s="297">
        <v>596.20000000000005</v>
      </c>
      <c r="J413" s="297">
        <v>596.20000000000005</v>
      </c>
    </row>
    <row r="414" spans="1:10" ht="25.5" x14ac:dyDescent="0.2">
      <c r="A414" s="300" t="s">
        <v>117</v>
      </c>
      <c r="B414" s="302" t="s">
        <v>238</v>
      </c>
      <c r="C414" s="300" t="s">
        <v>19</v>
      </c>
      <c r="D414" s="300" t="s">
        <v>239</v>
      </c>
      <c r="E414" s="368" t="s">
        <v>240</v>
      </c>
      <c r="F414" s="368"/>
      <c r="G414" s="301" t="s">
        <v>149</v>
      </c>
      <c r="H414" s="305">
        <v>4</v>
      </c>
      <c r="I414" s="303">
        <v>3.7</v>
      </c>
      <c r="J414" s="303">
        <v>14.8</v>
      </c>
    </row>
    <row r="415" spans="1:10" ht="25.5" x14ac:dyDescent="0.2">
      <c r="A415" s="306" t="s">
        <v>130</v>
      </c>
      <c r="B415" s="308" t="s">
        <v>204</v>
      </c>
      <c r="C415" s="306" t="s">
        <v>38</v>
      </c>
      <c r="D415" s="306" t="s">
        <v>205</v>
      </c>
      <c r="E415" s="365" t="s">
        <v>61</v>
      </c>
      <c r="F415" s="365"/>
      <c r="G415" s="307" t="s">
        <v>49</v>
      </c>
      <c r="H415" s="311">
        <v>1.216</v>
      </c>
      <c r="I415" s="309">
        <v>116.5</v>
      </c>
      <c r="J415" s="309">
        <v>141.66</v>
      </c>
    </row>
    <row r="416" spans="1:10" x14ac:dyDescent="0.2">
      <c r="A416" s="306" t="s">
        <v>130</v>
      </c>
      <c r="B416" s="308" t="s">
        <v>249</v>
      </c>
      <c r="C416" s="306" t="s">
        <v>38</v>
      </c>
      <c r="D416" s="306" t="s">
        <v>250</v>
      </c>
      <c r="E416" s="365" t="s">
        <v>61</v>
      </c>
      <c r="F416" s="365"/>
      <c r="G416" s="307" t="s">
        <v>41</v>
      </c>
      <c r="H416" s="311">
        <v>182</v>
      </c>
      <c r="I416" s="309">
        <v>1.28</v>
      </c>
      <c r="J416" s="309">
        <v>232.96</v>
      </c>
    </row>
    <row r="417" spans="1:10" x14ac:dyDescent="0.2">
      <c r="A417" s="306" t="s">
        <v>130</v>
      </c>
      <c r="B417" s="308" t="s">
        <v>215</v>
      </c>
      <c r="C417" s="306" t="s">
        <v>38</v>
      </c>
      <c r="D417" s="306" t="s">
        <v>216</v>
      </c>
      <c r="E417" s="365" t="s">
        <v>61</v>
      </c>
      <c r="F417" s="365"/>
      <c r="G417" s="307" t="s">
        <v>41</v>
      </c>
      <c r="H417" s="311">
        <v>182</v>
      </c>
      <c r="I417" s="309">
        <v>0.87</v>
      </c>
      <c r="J417" s="309">
        <v>158.34</v>
      </c>
    </row>
    <row r="418" spans="1:10" ht="15" customHeight="1" x14ac:dyDescent="0.2">
      <c r="A418" s="306" t="s">
        <v>130</v>
      </c>
      <c r="B418" s="308" t="s">
        <v>247</v>
      </c>
      <c r="C418" s="306" t="s">
        <v>38</v>
      </c>
      <c r="D418" s="306" t="s">
        <v>248</v>
      </c>
      <c r="E418" s="365" t="s">
        <v>160</v>
      </c>
      <c r="F418" s="365"/>
      <c r="G418" s="307" t="s">
        <v>127</v>
      </c>
      <c r="H418" s="311">
        <v>4</v>
      </c>
      <c r="I418" s="309">
        <v>12.11</v>
      </c>
      <c r="J418" s="309">
        <v>48.44</v>
      </c>
    </row>
    <row r="419" spans="1:10" x14ac:dyDescent="0.2">
      <c r="A419" s="317"/>
      <c r="B419" s="317"/>
      <c r="C419" s="317"/>
      <c r="D419" s="317"/>
      <c r="E419" s="317"/>
      <c r="F419" s="318"/>
      <c r="G419" s="317"/>
      <c r="H419" s="318"/>
      <c r="I419" s="317"/>
      <c r="J419" s="318"/>
    </row>
    <row r="420" spans="1:10" ht="15" thickBot="1" x14ac:dyDescent="0.25">
      <c r="A420" s="317"/>
      <c r="B420" s="317"/>
      <c r="C420" s="317"/>
      <c r="D420" s="317"/>
      <c r="E420" s="317" t="s">
        <v>123</v>
      </c>
      <c r="F420" s="318">
        <v>141.29</v>
      </c>
      <c r="G420" s="317"/>
      <c r="H420" s="366" t="s">
        <v>124</v>
      </c>
      <c r="I420" s="366"/>
      <c r="J420" s="318">
        <v>737.49</v>
      </c>
    </row>
    <row r="421" spans="1:10" ht="15" thickTop="1" x14ac:dyDescent="0.2">
      <c r="A421" s="299"/>
      <c r="B421" s="299"/>
      <c r="C421" s="299"/>
      <c r="D421" s="299"/>
      <c r="E421" s="299"/>
      <c r="F421" s="299"/>
      <c r="G421" s="299"/>
      <c r="H421" s="299"/>
      <c r="I421" s="299"/>
      <c r="J421" s="299"/>
    </row>
    <row r="422" spans="1:10" ht="15" x14ac:dyDescent="0.2">
      <c r="A422" s="291"/>
      <c r="B422" s="293" t="s">
        <v>6</v>
      </c>
      <c r="C422" s="291" t="s">
        <v>7</v>
      </c>
      <c r="D422" s="291" t="s">
        <v>8</v>
      </c>
      <c r="E422" s="367" t="s">
        <v>114</v>
      </c>
      <c r="F422" s="367"/>
      <c r="G422" s="292" t="s">
        <v>9</v>
      </c>
      <c r="H422" s="293" t="s">
        <v>10</v>
      </c>
      <c r="I422" s="293" t="s">
        <v>11</v>
      </c>
      <c r="J422" s="293" t="s">
        <v>12</v>
      </c>
    </row>
    <row r="423" spans="1:10" ht="38.25" x14ac:dyDescent="0.2">
      <c r="A423" s="294" t="s">
        <v>115</v>
      </c>
      <c r="B423" s="296" t="s">
        <v>209</v>
      </c>
      <c r="C423" s="294" t="s">
        <v>38</v>
      </c>
      <c r="D423" s="294" t="s">
        <v>210</v>
      </c>
      <c r="E423" s="373" t="s">
        <v>179</v>
      </c>
      <c r="F423" s="373"/>
      <c r="G423" s="295" t="s">
        <v>180</v>
      </c>
      <c r="H423" s="298">
        <v>1</v>
      </c>
      <c r="I423" s="297">
        <v>0.38</v>
      </c>
      <c r="J423" s="297">
        <v>0.38</v>
      </c>
    </row>
    <row r="424" spans="1:10" ht="38.25" x14ac:dyDescent="0.2">
      <c r="A424" s="300" t="s">
        <v>117</v>
      </c>
      <c r="B424" s="302" t="s">
        <v>253</v>
      </c>
      <c r="C424" s="300" t="s">
        <v>38</v>
      </c>
      <c r="D424" s="300" t="s">
        <v>254</v>
      </c>
      <c r="E424" s="368" t="s">
        <v>179</v>
      </c>
      <c r="F424" s="368"/>
      <c r="G424" s="301" t="s">
        <v>127</v>
      </c>
      <c r="H424" s="305">
        <v>1</v>
      </c>
      <c r="I424" s="303">
        <v>0.34</v>
      </c>
      <c r="J424" s="303">
        <v>0.34</v>
      </c>
    </row>
    <row r="425" spans="1:10" ht="51.75" customHeight="1" x14ac:dyDescent="0.2">
      <c r="A425" s="300" t="s">
        <v>117</v>
      </c>
      <c r="B425" s="302" t="s">
        <v>251</v>
      </c>
      <c r="C425" s="300" t="s">
        <v>38</v>
      </c>
      <c r="D425" s="300" t="s">
        <v>252</v>
      </c>
      <c r="E425" s="368" t="s">
        <v>179</v>
      </c>
      <c r="F425" s="368"/>
      <c r="G425" s="301" t="s">
        <v>127</v>
      </c>
      <c r="H425" s="305">
        <v>1</v>
      </c>
      <c r="I425" s="303">
        <v>0.04</v>
      </c>
      <c r="J425" s="303">
        <v>0.04</v>
      </c>
    </row>
    <row r="426" spans="1:10" x14ac:dyDescent="0.2">
      <c r="A426" s="317"/>
      <c r="B426" s="317"/>
      <c r="C426" s="317"/>
      <c r="D426" s="317"/>
      <c r="E426" s="317"/>
      <c r="F426" s="318"/>
      <c r="G426" s="317"/>
      <c r="H426" s="318"/>
      <c r="I426" s="317"/>
      <c r="J426" s="318"/>
    </row>
    <row r="427" spans="1:10" ht="15" thickBot="1" x14ac:dyDescent="0.25">
      <c r="A427" s="317"/>
      <c r="B427" s="317"/>
      <c r="C427" s="317"/>
      <c r="D427" s="317"/>
      <c r="E427" s="317" t="s">
        <v>123</v>
      </c>
      <c r="F427" s="318">
        <v>0.09</v>
      </c>
      <c r="G427" s="317"/>
      <c r="H427" s="366" t="s">
        <v>124</v>
      </c>
      <c r="I427" s="366"/>
      <c r="J427" s="318">
        <v>0.47</v>
      </c>
    </row>
    <row r="428" spans="1:10" ht="15" thickTop="1" x14ac:dyDescent="0.2">
      <c r="A428" s="299"/>
      <c r="B428" s="299"/>
      <c r="C428" s="299"/>
      <c r="D428" s="299"/>
      <c r="E428" s="299"/>
      <c r="F428" s="299"/>
      <c r="G428" s="299"/>
      <c r="H428" s="299"/>
      <c r="I428" s="299"/>
      <c r="J428" s="299"/>
    </row>
    <row r="429" spans="1:10" ht="15" x14ac:dyDescent="0.2">
      <c r="A429" s="291"/>
      <c r="B429" s="293" t="s">
        <v>6</v>
      </c>
      <c r="C429" s="291" t="s">
        <v>7</v>
      </c>
      <c r="D429" s="291" t="s">
        <v>8</v>
      </c>
      <c r="E429" s="367" t="s">
        <v>114</v>
      </c>
      <c r="F429" s="367"/>
      <c r="G429" s="292" t="s">
        <v>9</v>
      </c>
      <c r="H429" s="293" t="s">
        <v>10</v>
      </c>
      <c r="I429" s="293" t="s">
        <v>11</v>
      </c>
      <c r="J429" s="293" t="s">
        <v>12</v>
      </c>
    </row>
    <row r="430" spans="1:10" ht="38.25" x14ac:dyDescent="0.2">
      <c r="A430" s="294" t="s">
        <v>115</v>
      </c>
      <c r="B430" s="296" t="s">
        <v>207</v>
      </c>
      <c r="C430" s="294" t="s">
        <v>38</v>
      </c>
      <c r="D430" s="294" t="s">
        <v>208</v>
      </c>
      <c r="E430" s="373" t="s">
        <v>179</v>
      </c>
      <c r="F430" s="373"/>
      <c r="G430" s="295" t="s">
        <v>183</v>
      </c>
      <c r="H430" s="298">
        <v>1</v>
      </c>
      <c r="I430" s="297">
        <v>2.11</v>
      </c>
      <c r="J430" s="297">
        <v>2.11</v>
      </c>
    </row>
    <row r="431" spans="1:10" ht="38.25" x14ac:dyDescent="0.2">
      <c r="A431" s="300" t="s">
        <v>117</v>
      </c>
      <c r="B431" s="302" t="s">
        <v>253</v>
      </c>
      <c r="C431" s="300" t="s">
        <v>38</v>
      </c>
      <c r="D431" s="300" t="s">
        <v>254</v>
      </c>
      <c r="E431" s="368" t="s">
        <v>179</v>
      </c>
      <c r="F431" s="368"/>
      <c r="G431" s="301" t="s">
        <v>127</v>
      </c>
      <c r="H431" s="305">
        <v>1</v>
      </c>
      <c r="I431" s="303">
        <v>0.34</v>
      </c>
      <c r="J431" s="303">
        <v>0.34</v>
      </c>
    </row>
    <row r="432" spans="1:10" ht="51.75" customHeight="1" x14ac:dyDescent="0.2">
      <c r="A432" s="300" t="s">
        <v>117</v>
      </c>
      <c r="B432" s="302" t="s">
        <v>255</v>
      </c>
      <c r="C432" s="300" t="s">
        <v>38</v>
      </c>
      <c r="D432" s="300" t="s">
        <v>256</v>
      </c>
      <c r="E432" s="368" t="s">
        <v>179</v>
      </c>
      <c r="F432" s="368"/>
      <c r="G432" s="301" t="s">
        <v>127</v>
      </c>
      <c r="H432" s="305">
        <v>1</v>
      </c>
      <c r="I432" s="303">
        <v>1.36</v>
      </c>
      <c r="J432" s="303">
        <v>1.36</v>
      </c>
    </row>
    <row r="433" spans="1:10" ht="38.25" x14ac:dyDescent="0.2">
      <c r="A433" s="300" t="s">
        <v>117</v>
      </c>
      <c r="B433" s="302" t="s">
        <v>257</v>
      </c>
      <c r="C433" s="300" t="s">
        <v>38</v>
      </c>
      <c r="D433" s="300" t="s">
        <v>258</v>
      </c>
      <c r="E433" s="368" t="s">
        <v>179</v>
      </c>
      <c r="F433" s="368"/>
      <c r="G433" s="301" t="s">
        <v>127</v>
      </c>
      <c r="H433" s="305">
        <v>1</v>
      </c>
      <c r="I433" s="303">
        <v>0.37</v>
      </c>
      <c r="J433" s="303">
        <v>0.37</v>
      </c>
    </row>
    <row r="434" spans="1:10" ht="38.25" x14ac:dyDescent="0.2">
      <c r="A434" s="300" t="s">
        <v>117</v>
      </c>
      <c r="B434" s="302" t="s">
        <v>251</v>
      </c>
      <c r="C434" s="300" t="s">
        <v>38</v>
      </c>
      <c r="D434" s="300" t="s">
        <v>252</v>
      </c>
      <c r="E434" s="368" t="s">
        <v>179</v>
      </c>
      <c r="F434" s="368"/>
      <c r="G434" s="301" t="s">
        <v>127</v>
      </c>
      <c r="H434" s="305">
        <v>1</v>
      </c>
      <c r="I434" s="303">
        <v>0.04</v>
      </c>
      <c r="J434" s="303">
        <v>0.04</v>
      </c>
    </row>
    <row r="435" spans="1:10" x14ac:dyDescent="0.2">
      <c r="A435" s="317"/>
      <c r="B435" s="317"/>
      <c r="C435" s="317"/>
      <c r="D435" s="317"/>
      <c r="E435" s="317"/>
      <c r="F435" s="318"/>
      <c r="G435" s="317"/>
      <c r="H435" s="318"/>
      <c r="I435" s="317"/>
      <c r="J435" s="318"/>
    </row>
    <row r="436" spans="1:10" ht="15" thickBot="1" x14ac:dyDescent="0.25">
      <c r="A436" s="317"/>
      <c r="B436" s="317"/>
      <c r="C436" s="317"/>
      <c r="D436" s="317"/>
      <c r="E436" s="317" t="s">
        <v>123</v>
      </c>
      <c r="F436" s="318">
        <v>0.5</v>
      </c>
      <c r="G436" s="317"/>
      <c r="H436" s="366" t="s">
        <v>124</v>
      </c>
      <c r="I436" s="366"/>
      <c r="J436" s="318">
        <v>2.61</v>
      </c>
    </row>
    <row r="437" spans="1:10" ht="15" thickTop="1" x14ac:dyDescent="0.2">
      <c r="A437" s="299"/>
      <c r="B437" s="299"/>
      <c r="C437" s="299"/>
      <c r="D437" s="299"/>
      <c r="E437" s="299"/>
      <c r="F437" s="299"/>
      <c r="G437" s="299"/>
      <c r="H437" s="299"/>
      <c r="I437" s="299"/>
      <c r="J437" s="299"/>
    </row>
    <row r="438" spans="1:10" ht="15" x14ac:dyDescent="0.2">
      <c r="A438" s="291"/>
      <c r="B438" s="293" t="s">
        <v>6</v>
      </c>
      <c r="C438" s="291" t="s">
        <v>7</v>
      </c>
      <c r="D438" s="291" t="s">
        <v>8</v>
      </c>
      <c r="E438" s="367" t="s">
        <v>114</v>
      </c>
      <c r="F438" s="367"/>
      <c r="G438" s="292" t="s">
        <v>9</v>
      </c>
      <c r="H438" s="293" t="s">
        <v>10</v>
      </c>
      <c r="I438" s="293" t="s">
        <v>11</v>
      </c>
      <c r="J438" s="293" t="s">
        <v>12</v>
      </c>
    </row>
    <row r="439" spans="1:10" ht="51.75" customHeight="1" x14ac:dyDescent="0.2">
      <c r="A439" s="294" t="s">
        <v>115</v>
      </c>
      <c r="B439" s="296" t="s">
        <v>253</v>
      </c>
      <c r="C439" s="294" t="s">
        <v>38</v>
      </c>
      <c r="D439" s="294" t="s">
        <v>254</v>
      </c>
      <c r="E439" s="373" t="s">
        <v>179</v>
      </c>
      <c r="F439" s="373"/>
      <c r="G439" s="295" t="s">
        <v>127</v>
      </c>
      <c r="H439" s="298">
        <v>1</v>
      </c>
      <c r="I439" s="297">
        <v>0.34</v>
      </c>
      <c r="J439" s="297">
        <v>0.34</v>
      </c>
    </row>
    <row r="440" spans="1:10" ht="38.25" x14ac:dyDescent="0.2">
      <c r="A440" s="306" t="s">
        <v>130</v>
      </c>
      <c r="B440" s="308" t="s">
        <v>259</v>
      </c>
      <c r="C440" s="306" t="s">
        <v>38</v>
      </c>
      <c r="D440" s="306" t="s">
        <v>260</v>
      </c>
      <c r="E440" s="365" t="s">
        <v>148</v>
      </c>
      <c r="F440" s="365"/>
      <c r="G440" s="307" t="s">
        <v>194</v>
      </c>
      <c r="H440" s="311">
        <v>6.3999999999999997E-5</v>
      </c>
      <c r="I440" s="309">
        <v>5316.03</v>
      </c>
      <c r="J440" s="309">
        <v>0.34</v>
      </c>
    </row>
    <row r="441" spans="1:10" x14ac:dyDescent="0.2">
      <c r="A441" s="317"/>
      <c r="B441" s="317"/>
      <c r="C441" s="317"/>
      <c r="D441" s="317"/>
      <c r="E441" s="317"/>
      <c r="F441" s="318"/>
      <c r="G441" s="317"/>
      <c r="H441" s="318"/>
      <c r="I441" s="317"/>
      <c r="J441" s="318"/>
    </row>
    <row r="442" spans="1:10" ht="15" thickBot="1" x14ac:dyDescent="0.25">
      <c r="A442" s="317"/>
      <c r="B442" s="317"/>
      <c r="C442" s="317"/>
      <c r="D442" s="317"/>
      <c r="E442" s="317" t="s">
        <v>123</v>
      </c>
      <c r="F442" s="318">
        <v>0.08</v>
      </c>
      <c r="G442" s="317"/>
      <c r="H442" s="366" t="s">
        <v>124</v>
      </c>
      <c r="I442" s="366"/>
      <c r="J442" s="318">
        <v>0.42</v>
      </c>
    </row>
    <row r="443" spans="1:10" ht="15" thickTop="1" x14ac:dyDescent="0.2">
      <c r="A443" s="299"/>
      <c r="B443" s="299"/>
      <c r="C443" s="299"/>
      <c r="D443" s="299"/>
      <c r="E443" s="299"/>
      <c r="F443" s="299"/>
      <c r="G443" s="299"/>
      <c r="H443" s="299"/>
      <c r="I443" s="299"/>
      <c r="J443" s="299"/>
    </row>
    <row r="444" spans="1:10" ht="15" x14ac:dyDescent="0.2">
      <c r="A444" s="291"/>
      <c r="B444" s="293" t="s">
        <v>6</v>
      </c>
      <c r="C444" s="291" t="s">
        <v>7</v>
      </c>
      <c r="D444" s="291" t="s">
        <v>8</v>
      </c>
      <c r="E444" s="367" t="s">
        <v>114</v>
      </c>
      <c r="F444" s="367"/>
      <c r="G444" s="292" t="s">
        <v>9</v>
      </c>
      <c r="H444" s="293" t="s">
        <v>10</v>
      </c>
      <c r="I444" s="293" t="s">
        <v>11</v>
      </c>
      <c r="J444" s="293" t="s">
        <v>12</v>
      </c>
    </row>
    <row r="445" spans="1:10" ht="38.25" x14ac:dyDescent="0.2">
      <c r="A445" s="294" t="s">
        <v>115</v>
      </c>
      <c r="B445" s="296" t="s">
        <v>251</v>
      </c>
      <c r="C445" s="294" t="s">
        <v>38</v>
      </c>
      <c r="D445" s="294" t="s">
        <v>252</v>
      </c>
      <c r="E445" s="373" t="s">
        <v>179</v>
      </c>
      <c r="F445" s="373"/>
      <c r="G445" s="295" t="s">
        <v>127</v>
      </c>
      <c r="H445" s="298">
        <v>1</v>
      </c>
      <c r="I445" s="297">
        <v>0.04</v>
      </c>
      <c r="J445" s="297">
        <v>0.04</v>
      </c>
    </row>
    <row r="446" spans="1:10" ht="39" customHeight="1" x14ac:dyDescent="0.2">
      <c r="A446" s="306" t="s">
        <v>130</v>
      </c>
      <c r="B446" s="308" t="s">
        <v>259</v>
      </c>
      <c r="C446" s="306" t="s">
        <v>38</v>
      </c>
      <c r="D446" s="306" t="s">
        <v>260</v>
      </c>
      <c r="E446" s="365" t="s">
        <v>148</v>
      </c>
      <c r="F446" s="365"/>
      <c r="G446" s="307" t="s">
        <v>194</v>
      </c>
      <c r="H446" s="311">
        <v>7.6000000000000001E-6</v>
      </c>
      <c r="I446" s="309">
        <v>5316.03</v>
      </c>
      <c r="J446" s="309">
        <v>0.04</v>
      </c>
    </row>
    <row r="447" spans="1:10" x14ac:dyDescent="0.2">
      <c r="A447" s="317"/>
      <c r="B447" s="317"/>
      <c r="C447" s="317"/>
      <c r="D447" s="317"/>
      <c r="E447" s="317"/>
      <c r="F447" s="318"/>
      <c r="G447" s="317"/>
      <c r="H447" s="318"/>
      <c r="I447" s="317"/>
      <c r="J447" s="318"/>
    </row>
    <row r="448" spans="1:10" ht="15" thickBot="1" x14ac:dyDescent="0.25">
      <c r="A448" s="317"/>
      <c r="B448" s="317"/>
      <c r="C448" s="317"/>
      <c r="D448" s="317"/>
      <c r="E448" s="317" t="s">
        <v>123</v>
      </c>
      <c r="F448" s="318">
        <v>0</v>
      </c>
      <c r="G448" s="317"/>
      <c r="H448" s="366" t="s">
        <v>124</v>
      </c>
      <c r="I448" s="366"/>
      <c r="J448" s="318">
        <v>0.04</v>
      </c>
    </row>
    <row r="449" spans="1:10" ht="15" thickTop="1" x14ac:dyDescent="0.2">
      <c r="A449" s="299"/>
      <c r="B449" s="299"/>
      <c r="C449" s="299"/>
      <c r="D449" s="299"/>
      <c r="E449" s="299"/>
      <c r="F449" s="299"/>
      <c r="G449" s="299"/>
      <c r="H449" s="299"/>
      <c r="I449" s="299"/>
      <c r="J449" s="299"/>
    </row>
    <row r="450" spans="1:10" ht="15" x14ac:dyDescent="0.2">
      <c r="A450" s="291"/>
      <c r="B450" s="293" t="s">
        <v>6</v>
      </c>
      <c r="C450" s="291" t="s">
        <v>7</v>
      </c>
      <c r="D450" s="291" t="s">
        <v>8</v>
      </c>
      <c r="E450" s="367" t="s">
        <v>114</v>
      </c>
      <c r="F450" s="367"/>
      <c r="G450" s="292" t="s">
        <v>9</v>
      </c>
      <c r="H450" s="293" t="s">
        <v>10</v>
      </c>
      <c r="I450" s="293" t="s">
        <v>11</v>
      </c>
      <c r="J450" s="293" t="s">
        <v>12</v>
      </c>
    </row>
    <row r="451" spans="1:10" ht="38.25" x14ac:dyDescent="0.2">
      <c r="A451" s="294" t="s">
        <v>115</v>
      </c>
      <c r="B451" s="296" t="s">
        <v>257</v>
      </c>
      <c r="C451" s="294" t="s">
        <v>38</v>
      </c>
      <c r="D451" s="294" t="s">
        <v>258</v>
      </c>
      <c r="E451" s="373" t="s">
        <v>179</v>
      </c>
      <c r="F451" s="373"/>
      <c r="G451" s="295" t="s">
        <v>127</v>
      </c>
      <c r="H451" s="298">
        <v>1</v>
      </c>
      <c r="I451" s="297">
        <v>0.37</v>
      </c>
      <c r="J451" s="297">
        <v>0.37</v>
      </c>
    </row>
    <row r="452" spans="1:10" ht="39" customHeight="1" x14ac:dyDescent="0.2">
      <c r="A452" s="306" t="s">
        <v>130</v>
      </c>
      <c r="B452" s="308" t="s">
        <v>259</v>
      </c>
      <c r="C452" s="306" t="s">
        <v>38</v>
      </c>
      <c r="D452" s="306" t="s">
        <v>260</v>
      </c>
      <c r="E452" s="365" t="s">
        <v>148</v>
      </c>
      <c r="F452" s="365"/>
      <c r="G452" s="307" t="s">
        <v>194</v>
      </c>
      <c r="H452" s="311">
        <v>6.9999999999999994E-5</v>
      </c>
      <c r="I452" s="309">
        <v>5316.03</v>
      </c>
      <c r="J452" s="309">
        <v>0.37</v>
      </c>
    </row>
    <row r="453" spans="1:10" x14ac:dyDescent="0.2">
      <c r="A453" s="317"/>
      <c r="B453" s="317"/>
      <c r="C453" s="317"/>
      <c r="D453" s="317"/>
      <c r="E453" s="317"/>
      <c r="F453" s="318"/>
      <c r="G453" s="317"/>
      <c r="H453" s="318"/>
      <c r="I453" s="317"/>
      <c r="J453" s="318"/>
    </row>
    <row r="454" spans="1:10" ht="15" thickBot="1" x14ac:dyDescent="0.25">
      <c r="A454" s="317"/>
      <c r="B454" s="317"/>
      <c r="C454" s="317"/>
      <c r="D454" s="317"/>
      <c r="E454" s="317" t="s">
        <v>123</v>
      </c>
      <c r="F454" s="318">
        <v>0.08</v>
      </c>
      <c r="G454" s="317"/>
      <c r="H454" s="366" t="s">
        <v>124</v>
      </c>
      <c r="I454" s="366"/>
      <c r="J454" s="318">
        <v>0.45</v>
      </c>
    </row>
    <row r="455" spans="1:10" ht="15" thickTop="1" x14ac:dyDescent="0.2">
      <c r="A455" s="299"/>
      <c r="B455" s="299"/>
      <c r="C455" s="299"/>
      <c r="D455" s="299"/>
      <c r="E455" s="299"/>
      <c r="F455" s="299"/>
      <c r="G455" s="299"/>
      <c r="H455" s="299"/>
      <c r="I455" s="299"/>
      <c r="J455" s="299"/>
    </row>
    <row r="456" spans="1:10" ht="15" x14ac:dyDescent="0.2">
      <c r="A456" s="291"/>
      <c r="B456" s="293" t="s">
        <v>6</v>
      </c>
      <c r="C456" s="291" t="s">
        <v>7</v>
      </c>
      <c r="D456" s="291" t="s">
        <v>8</v>
      </c>
      <c r="E456" s="367" t="s">
        <v>114</v>
      </c>
      <c r="F456" s="367"/>
      <c r="G456" s="292" t="s">
        <v>9</v>
      </c>
      <c r="H456" s="293" t="s">
        <v>10</v>
      </c>
      <c r="I456" s="293" t="s">
        <v>11</v>
      </c>
      <c r="J456" s="293" t="s">
        <v>12</v>
      </c>
    </row>
    <row r="457" spans="1:10" ht="38.25" x14ac:dyDescent="0.2">
      <c r="A457" s="294" t="s">
        <v>115</v>
      </c>
      <c r="B457" s="296" t="s">
        <v>255</v>
      </c>
      <c r="C457" s="294" t="s">
        <v>38</v>
      </c>
      <c r="D457" s="294" t="s">
        <v>256</v>
      </c>
      <c r="E457" s="373" t="s">
        <v>179</v>
      </c>
      <c r="F457" s="373"/>
      <c r="G457" s="295" t="s">
        <v>127</v>
      </c>
      <c r="H457" s="298">
        <v>1</v>
      </c>
      <c r="I457" s="297">
        <v>1.36</v>
      </c>
      <c r="J457" s="297">
        <v>1.36</v>
      </c>
    </row>
    <row r="458" spans="1:10" x14ac:dyDescent="0.2">
      <c r="A458" s="306" t="s">
        <v>130</v>
      </c>
      <c r="B458" s="308" t="s">
        <v>261</v>
      </c>
      <c r="C458" s="306" t="s">
        <v>38</v>
      </c>
      <c r="D458" s="306" t="s">
        <v>262</v>
      </c>
      <c r="E458" s="365" t="s">
        <v>61</v>
      </c>
      <c r="F458" s="365"/>
      <c r="G458" s="307" t="s">
        <v>263</v>
      </c>
      <c r="H458" s="311">
        <v>1.25</v>
      </c>
      <c r="I458" s="309">
        <v>1.0900000000000001</v>
      </c>
      <c r="J458" s="309">
        <v>1.36</v>
      </c>
    </row>
    <row r="459" spans="1:10" x14ac:dyDescent="0.2">
      <c r="A459" s="317"/>
      <c r="B459" s="317"/>
      <c r="C459" s="317"/>
      <c r="D459" s="317"/>
      <c r="E459" s="317"/>
      <c r="F459" s="318"/>
      <c r="G459" s="317"/>
      <c r="H459" s="318"/>
      <c r="I459" s="317"/>
      <c r="J459" s="318"/>
    </row>
    <row r="460" spans="1:10" ht="15" thickBot="1" x14ac:dyDescent="0.25">
      <c r="A460" s="317"/>
      <c r="B460" s="317"/>
      <c r="C460" s="317"/>
      <c r="D460" s="317"/>
      <c r="E460" s="317" t="s">
        <v>123</v>
      </c>
      <c r="F460" s="318">
        <v>0.32</v>
      </c>
      <c r="G460" s="317"/>
      <c r="H460" s="366" t="s">
        <v>124</v>
      </c>
      <c r="I460" s="366"/>
      <c r="J460" s="318">
        <v>1.68</v>
      </c>
    </row>
    <row r="461" spans="1:10" ht="15" thickTop="1" x14ac:dyDescent="0.2">
      <c r="A461" s="299"/>
      <c r="B461" s="299"/>
      <c r="C461" s="299"/>
      <c r="D461" s="299"/>
      <c r="E461" s="299"/>
      <c r="F461" s="299"/>
      <c r="G461" s="299"/>
      <c r="H461" s="299"/>
      <c r="I461" s="299"/>
      <c r="J461" s="299"/>
    </row>
    <row r="462" spans="1:10" ht="15" x14ac:dyDescent="0.2">
      <c r="A462" s="291"/>
      <c r="B462" s="293" t="s">
        <v>6</v>
      </c>
      <c r="C462" s="291" t="s">
        <v>7</v>
      </c>
      <c r="D462" s="291" t="s">
        <v>8</v>
      </c>
      <c r="E462" s="367" t="s">
        <v>114</v>
      </c>
      <c r="F462" s="367"/>
      <c r="G462" s="292" t="s">
        <v>9</v>
      </c>
      <c r="H462" s="293" t="s">
        <v>10</v>
      </c>
      <c r="I462" s="293" t="s">
        <v>11</v>
      </c>
      <c r="J462" s="293" t="s">
        <v>12</v>
      </c>
    </row>
    <row r="463" spans="1:10" ht="51" x14ac:dyDescent="0.2">
      <c r="A463" s="294" t="s">
        <v>115</v>
      </c>
      <c r="B463" s="296" t="s">
        <v>177</v>
      </c>
      <c r="C463" s="294" t="s">
        <v>38</v>
      </c>
      <c r="D463" s="294" t="s">
        <v>178</v>
      </c>
      <c r="E463" s="373" t="s">
        <v>179</v>
      </c>
      <c r="F463" s="373"/>
      <c r="G463" s="295" t="s">
        <v>180</v>
      </c>
      <c r="H463" s="298">
        <v>1</v>
      </c>
      <c r="I463" s="297">
        <v>85.4</v>
      </c>
      <c r="J463" s="297">
        <v>85.4</v>
      </c>
    </row>
    <row r="464" spans="1:10" ht="51" x14ac:dyDescent="0.2">
      <c r="A464" s="300" t="s">
        <v>117</v>
      </c>
      <c r="B464" s="302" t="s">
        <v>280</v>
      </c>
      <c r="C464" s="300" t="s">
        <v>38</v>
      </c>
      <c r="D464" s="300" t="s">
        <v>281</v>
      </c>
      <c r="E464" s="368" t="s">
        <v>179</v>
      </c>
      <c r="F464" s="368"/>
      <c r="G464" s="301" t="s">
        <v>127</v>
      </c>
      <c r="H464" s="305">
        <v>1</v>
      </c>
      <c r="I464" s="303">
        <v>33.270000000000003</v>
      </c>
      <c r="J464" s="303">
        <v>33.270000000000003</v>
      </c>
    </row>
    <row r="465" spans="1:10" ht="51.75" customHeight="1" x14ac:dyDescent="0.2">
      <c r="A465" s="300" t="s">
        <v>117</v>
      </c>
      <c r="B465" s="302" t="s">
        <v>278</v>
      </c>
      <c r="C465" s="300" t="s">
        <v>38</v>
      </c>
      <c r="D465" s="300" t="s">
        <v>279</v>
      </c>
      <c r="E465" s="368" t="s">
        <v>179</v>
      </c>
      <c r="F465" s="368"/>
      <c r="G465" s="301" t="s">
        <v>127</v>
      </c>
      <c r="H465" s="305">
        <v>1</v>
      </c>
      <c r="I465" s="303">
        <v>5.41</v>
      </c>
      <c r="J465" s="303">
        <v>5.41</v>
      </c>
    </row>
    <row r="466" spans="1:10" ht="51" x14ac:dyDescent="0.2">
      <c r="A466" s="300" t="s">
        <v>117</v>
      </c>
      <c r="B466" s="302" t="s">
        <v>276</v>
      </c>
      <c r="C466" s="300" t="s">
        <v>38</v>
      </c>
      <c r="D466" s="300" t="s">
        <v>277</v>
      </c>
      <c r="E466" s="368" t="s">
        <v>179</v>
      </c>
      <c r="F466" s="368"/>
      <c r="G466" s="301" t="s">
        <v>127</v>
      </c>
      <c r="H466" s="305">
        <v>1</v>
      </c>
      <c r="I466" s="303">
        <v>6.81</v>
      </c>
      <c r="J466" s="303">
        <v>6.81</v>
      </c>
    </row>
    <row r="467" spans="1:10" ht="25.5" x14ac:dyDescent="0.2">
      <c r="A467" s="300" t="s">
        <v>117</v>
      </c>
      <c r="B467" s="302" t="s">
        <v>282</v>
      </c>
      <c r="C467" s="300" t="s">
        <v>38</v>
      </c>
      <c r="D467" s="300" t="s">
        <v>283</v>
      </c>
      <c r="E467" s="368" t="s">
        <v>116</v>
      </c>
      <c r="F467" s="368"/>
      <c r="G467" s="301" t="s">
        <v>127</v>
      </c>
      <c r="H467" s="305">
        <v>1</v>
      </c>
      <c r="I467" s="303">
        <v>39.909999999999997</v>
      </c>
      <c r="J467" s="303">
        <v>39.909999999999997</v>
      </c>
    </row>
    <row r="468" spans="1:10" x14ac:dyDescent="0.2">
      <c r="A468" s="317"/>
      <c r="B468" s="317"/>
      <c r="C468" s="317"/>
      <c r="D468" s="317"/>
      <c r="E468" s="317"/>
      <c r="F468" s="318"/>
      <c r="G468" s="317"/>
      <c r="H468" s="318"/>
      <c r="I468" s="317"/>
      <c r="J468" s="318"/>
    </row>
    <row r="469" spans="1:10" ht="15" thickBot="1" x14ac:dyDescent="0.25">
      <c r="A469" s="317"/>
      <c r="B469" s="317"/>
      <c r="C469" s="317"/>
      <c r="D469" s="317"/>
      <c r="E469" s="317" t="s">
        <v>123</v>
      </c>
      <c r="F469" s="318">
        <v>20.23</v>
      </c>
      <c r="G469" s="317"/>
      <c r="H469" s="366" t="s">
        <v>124</v>
      </c>
      <c r="I469" s="366"/>
      <c r="J469" s="318">
        <v>105.63</v>
      </c>
    </row>
    <row r="470" spans="1:10" ht="15" thickTop="1" x14ac:dyDescent="0.2">
      <c r="A470" s="299"/>
      <c r="B470" s="299"/>
      <c r="C470" s="299"/>
      <c r="D470" s="299"/>
      <c r="E470" s="299"/>
      <c r="F470" s="299"/>
      <c r="G470" s="299"/>
      <c r="H470" s="299"/>
      <c r="I470" s="299"/>
      <c r="J470" s="299"/>
    </row>
    <row r="471" spans="1:10" ht="15" x14ac:dyDescent="0.2">
      <c r="A471" s="291"/>
      <c r="B471" s="293" t="s">
        <v>6</v>
      </c>
      <c r="C471" s="291" t="s">
        <v>7</v>
      </c>
      <c r="D471" s="291" t="s">
        <v>8</v>
      </c>
      <c r="E471" s="367" t="s">
        <v>114</v>
      </c>
      <c r="F471" s="367"/>
      <c r="G471" s="292" t="s">
        <v>9</v>
      </c>
      <c r="H471" s="293" t="s">
        <v>10</v>
      </c>
      <c r="I471" s="293" t="s">
        <v>11</v>
      </c>
      <c r="J471" s="293" t="s">
        <v>12</v>
      </c>
    </row>
    <row r="472" spans="1:10" ht="51" x14ac:dyDescent="0.2">
      <c r="A472" s="294" t="s">
        <v>115</v>
      </c>
      <c r="B472" s="296" t="s">
        <v>181</v>
      </c>
      <c r="C472" s="294" t="s">
        <v>38</v>
      </c>
      <c r="D472" s="294" t="s">
        <v>182</v>
      </c>
      <c r="E472" s="373" t="s">
        <v>179</v>
      </c>
      <c r="F472" s="373"/>
      <c r="G472" s="295" t="s">
        <v>183</v>
      </c>
      <c r="H472" s="298">
        <v>1</v>
      </c>
      <c r="I472" s="297">
        <v>490.77</v>
      </c>
      <c r="J472" s="297">
        <v>490.77</v>
      </c>
    </row>
    <row r="473" spans="1:10" ht="51" x14ac:dyDescent="0.2">
      <c r="A473" s="300" t="s">
        <v>117</v>
      </c>
      <c r="B473" s="302" t="s">
        <v>280</v>
      </c>
      <c r="C473" s="300" t="s">
        <v>38</v>
      </c>
      <c r="D473" s="300" t="s">
        <v>281</v>
      </c>
      <c r="E473" s="368" t="s">
        <v>179</v>
      </c>
      <c r="F473" s="368"/>
      <c r="G473" s="301" t="s">
        <v>127</v>
      </c>
      <c r="H473" s="305">
        <v>1</v>
      </c>
      <c r="I473" s="303">
        <v>33.270000000000003</v>
      </c>
      <c r="J473" s="303">
        <v>33.270000000000003</v>
      </c>
    </row>
    <row r="474" spans="1:10" ht="51" x14ac:dyDescent="0.2">
      <c r="A474" s="300" t="s">
        <v>117</v>
      </c>
      <c r="B474" s="302" t="s">
        <v>286</v>
      </c>
      <c r="C474" s="300" t="s">
        <v>38</v>
      </c>
      <c r="D474" s="300" t="s">
        <v>287</v>
      </c>
      <c r="E474" s="368" t="s">
        <v>179</v>
      </c>
      <c r="F474" s="368"/>
      <c r="G474" s="301" t="s">
        <v>127</v>
      </c>
      <c r="H474" s="305">
        <v>1</v>
      </c>
      <c r="I474" s="303">
        <v>345.83</v>
      </c>
      <c r="J474" s="303">
        <v>345.83</v>
      </c>
    </row>
    <row r="475" spans="1:10" ht="51" x14ac:dyDescent="0.2">
      <c r="A475" s="300" t="s">
        <v>117</v>
      </c>
      <c r="B475" s="302" t="s">
        <v>278</v>
      </c>
      <c r="C475" s="300" t="s">
        <v>38</v>
      </c>
      <c r="D475" s="300" t="s">
        <v>279</v>
      </c>
      <c r="E475" s="368" t="s">
        <v>179</v>
      </c>
      <c r="F475" s="368"/>
      <c r="G475" s="301" t="s">
        <v>127</v>
      </c>
      <c r="H475" s="305">
        <v>1</v>
      </c>
      <c r="I475" s="303">
        <v>5.41</v>
      </c>
      <c r="J475" s="303">
        <v>5.41</v>
      </c>
    </row>
    <row r="476" spans="1:10" ht="51" x14ac:dyDescent="0.2">
      <c r="A476" s="300" t="s">
        <v>117</v>
      </c>
      <c r="B476" s="302" t="s">
        <v>284</v>
      </c>
      <c r="C476" s="300" t="s">
        <v>38</v>
      </c>
      <c r="D476" s="300" t="s">
        <v>285</v>
      </c>
      <c r="E476" s="368" t="s">
        <v>179</v>
      </c>
      <c r="F476" s="368"/>
      <c r="G476" s="301" t="s">
        <v>127</v>
      </c>
      <c r="H476" s="305">
        <v>1</v>
      </c>
      <c r="I476" s="303">
        <v>59.54</v>
      </c>
      <c r="J476" s="303">
        <v>59.54</v>
      </c>
    </row>
    <row r="477" spans="1:10" ht="51.75" customHeight="1" x14ac:dyDescent="0.2">
      <c r="A477" s="300" t="s">
        <v>117</v>
      </c>
      <c r="B477" s="302" t="s">
        <v>276</v>
      </c>
      <c r="C477" s="300" t="s">
        <v>38</v>
      </c>
      <c r="D477" s="300" t="s">
        <v>277</v>
      </c>
      <c r="E477" s="368" t="s">
        <v>179</v>
      </c>
      <c r="F477" s="368"/>
      <c r="G477" s="301" t="s">
        <v>127</v>
      </c>
      <c r="H477" s="305">
        <v>1</v>
      </c>
      <c r="I477" s="303">
        <v>6.81</v>
      </c>
      <c r="J477" s="303">
        <v>6.81</v>
      </c>
    </row>
    <row r="478" spans="1:10" ht="25.5" x14ac:dyDescent="0.2">
      <c r="A478" s="300" t="s">
        <v>117</v>
      </c>
      <c r="B478" s="302" t="s">
        <v>282</v>
      </c>
      <c r="C478" s="300" t="s">
        <v>38</v>
      </c>
      <c r="D478" s="300" t="s">
        <v>283</v>
      </c>
      <c r="E478" s="368" t="s">
        <v>116</v>
      </c>
      <c r="F478" s="368"/>
      <c r="G478" s="301" t="s">
        <v>127</v>
      </c>
      <c r="H478" s="305">
        <v>1</v>
      </c>
      <c r="I478" s="303">
        <v>39.909999999999997</v>
      </c>
      <c r="J478" s="303">
        <v>39.909999999999997</v>
      </c>
    </row>
    <row r="479" spans="1:10" x14ac:dyDescent="0.2">
      <c r="A479" s="317"/>
      <c r="B479" s="317"/>
      <c r="C479" s="317"/>
      <c r="D479" s="317"/>
      <c r="E479" s="317"/>
      <c r="F479" s="318"/>
      <c r="G479" s="317"/>
      <c r="H479" s="318"/>
      <c r="I479" s="317"/>
      <c r="J479" s="318"/>
    </row>
    <row r="480" spans="1:10" ht="15" thickBot="1" x14ac:dyDescent="0.25">
      <c r="A480" s="317"/>
      <c r="B480" s="317"/>
      <c r="C480" s="317"/>
      <c r="D480" s="317"/>
      <c r="E480" s="317" t="s">
        <v>123</v>
      </c>
      <c r="F480" s="318">
        <v>116.31</v>
      </c>
      <c r="G480" s="317"/>
      <c r="H480" s="366" t="s">
        <v>124</v>
      </c>
      <c r="I480" s="366"/>
      <c r="J480" s="318">
        <v>607.08000000000004</v>
      </c>
    </row>
    <row r="481" spans="1:10" ht="15" thickTop="1" x14ac:dyDescent="0.2">
      <c r="A481" s="299"/>
      <c r="B481" s="299"/>
      <c r="C481" s="299"/>
      <c r="D481" s="299"/>
      <c r="E481" s="299"/>
      <c r="F481" s="299"/>
      <c r="G481" s="299"/>
      <c r="H481" s="299"/>
      <c r="I481" s="299"/>
      <c r="J481" s="299"/>
    </row>
    <row r="482" spans="1:10" ht="15" x14ac:dyDescent="0.2">
      <c r="A482" s="291"/>
      <c r="B482" s="293" t="s">
        <v>6</v>
      </c>
      <c r="C482" s="291" t="s">
        <v>7</v>
      </c>
      <c r="D482" s="291" t="s">
        <v>8</v>
      </c>
      <c r="E482" s="367" t="s">
        <v>114</v>
      </c>
      <c r="F482" s="367"/>
      <c r="G482" s="292" t="s">
        <v>9</v>
      </c>
      <c r="H482" s="293" t="s">
        <v>10</v>
      </c>
      <c r="I482" s="293" t="s">
        <v>11</v>
      </c>
      <c r="J482" s="293" t="s">
        <v>12</v>
      </c>
    </row>
    <row r="483" spans="1:10" ht="51" x14ac:dyDescent="0.2">
      <c r="A483" s="294" t="s">
        <v>115</v>
      </c>
      <c r="B483" s="296" t="s">
        <v>280</v>
      </c>
      <c r="C483" s="294" t="s">
        <v>38</v>
      </c>
      <c r="D483" s="294" t="s">
        <v>281</v>
      </c>
      <c r="E483" s="373" t="s">
        <v>179</v>
      </c>
      <c r="F483" s="373"/>
      <c r="G483" s="295" t="s">
        <v>127</v>
      </c>
      <c r="H483" s="298">
        <v>1</v>
      </c>
      <c r="I483" s="297">
        <v>33.270000000000003</v>
      </c>
      <c r="J483" s="297">
        <v>33.270000000000003</v>
      </c>
    </row>
    <row r="484" spans="1:10" ht="39" customHeight="1" x14ac:dyDescent="0.2">
      <c r="A484" s="306" t="s">
        <v>130</v>
      </c>
      <c r="B484" s="308" t="s">
        <v>288</v>
      </c>
      <c r="C484" s="306" t="s">
        <v>38</v>
      </c>
      <c r="D484" s="306" t="s">
        <v>289</v>
      </c>
      <c r="E484" s="365" t="s">
        <v>148</v>
      </c>
      <c r="F484" s="365"/>
      <c r="G484" s="307" t="s">
        <v>194</v>
      </c>
      <c r="H484" s="311">
        <v>3.43E-5</v>
      </c>
      <c r="I484" s="309">
        <v>837282.81</v>
      </c>
      <c r="J484" s="309">
        <v>28.71</v>
      </c>
    </row>
    <row r="485" spans="1:10" ht="25.5" x14ac:dyDescent="0.2">
      <c r="A485" s="306" t="s">
        <v>130</v>
      </c>
      <c r="B485" s="308" t="s">
        <v>290</v>
      </c>
      <c r="C485" s="306" t="s">
        <v>38</v>
      </c>
      <c r="D485" s="306" t="s">
        <v>291</v>
      </c>
      <c r="E485" s="365" t="s">
        <v>61</v>
      </c>
      <c r="F485" s="365"/>
      <c r="G485" s="307" t="s">
        <v>194</v>
      </c>
      <c r="H485" s="311">
        <v>3.1999999999999999E-5</v>
      </c>
      <c r="I485" s="309">
        <v>142758.1</v>
      </c>
      <c r="J485" s="309">
        <v>4.5599999999999996</v>
      </c>
    </row>
    <row r="486" spans="1:10" x14ac:dyDescent="0.2">
      <c r="A486" s="317"/>
      <c r="B486" s="317"/>
      <c r="C486" s="317"/>
      <c r="D486" s="317"/>
      <c r="E486" s="317"/>
      <c r="F486" s="318"/>
      <c r="G486" s="317"/>
      <c r="H486" s="318"/>
      <c r="I486" s="317"/>
      <c r="J486" s="318"/>
    </row>
    <row r="487" spans="1:10" ht="15" thickBot="1" x14ac:dyDescent="0.25">
      <c r="A487" s="317"/>
      <c r="B487" s="317"/>
      <c r="C487" s="317"/>
      <c r="D487" s="317"/>
      <c r="E487" s="317" t="s">
        <v>123</v>
      </c>
      <c r="F487" s="318">
        <v>7.88</v>
      </c>
      <c r="G487" s="317"/>
      <c r="H487" s="366" t="s">
        <v>124</v>
      </c>
      <c r="I487" s="366"/>
      <c r="J487" s="318">
        <v>41.15</v>
      </c>
    </row>
    <row r="488" spans="1:10" ht="15" thickTop="1" x14ac:dyDescent="0.2">
      <c r="A488" s="299"/>
      <c r="B488" s="299"/>
      <c r="C488" s="299"/>
      <c r="D488" s="299"/>
      <c r="E488" s="299"/>
      <c r="F488" s="299"/>
      <c r="G488" s="299"/>
      <c r="H488" s="299"/>
      <c r="I488" s="299"/>
      <c r="J488" s="299"/>
    </row>
    <row r="489" spans="1:10" ht="15" x14ac:dyDescent="0.2">
      <c r="A489" s="291"/>
      <c r="B489" s="293" t="s">
        <v>6</v>
      </c>
      <c r="C489" s="291" t="s">
        <v>7</v>
      </c>
      <c r="D489" s="291" t="s">
        <v>8</v>
      </c>
      <c r="E489" s="367" t="s">
        <v>114</v>
      </c>
      <c r="F489" s="367"/>
      <c r="G489" s="292" t="s">
        <v>9</v>
      </c>
      <c r="H489" s="293" t="s">
        <v>10</v>
      </c>
      <c r="I489" s="293" t="s">
        <v>11</v>
      </c>
      <c r="J489" s="293" t="s">
        <v>12</v>
      </c>
    </row>
    <row r="490" spans="1:10" ht="51" x14ac:dyDescent="0.2">
      <c r="A490" s="294" t="s">
        <v>115</v>
      </c>
      <c r="B490" s="296" t="s">
        <v>278</v>
      </c>
      <c r="C490" s="294" t="s">
        <v>38</v>
      </c>
      <c r="D490" s="294" t="s">
        <v>279</v>
      </c>
      <c r="E490" s="373" t="s">
        <v>179</v>
      </c>
      <c r="F490" s="373"/>
      <c r="G490" s="295" t="s">
        <v>127</v>
      </c>
      <c r="H490" s="298">
        <v>1</v>
      </c>
      <c r="I490" s="297">
        <v>5.41</v>
      </c>
      <c r="J490" s="297">
        <v>5.41</v>
      </c>
    </row>
    <row r="491" spans="1:10" ht="38.25" x14ac:dyDescent="0.2">
      <c r="A491" s="306" t="s">
        <v>130</v>
      </c>
      <c r="B491" s="308" t="s">
        <v>288</v>
      </c>
      <c r="C491" s="306" t="s">
        <v>38</v>
      </c>
      <c r="D491" s="306" t="s">
        <v>289</v>
      </c>
      <c r="E491" s="365" t="s">
        <v>148</v>
      </c>
      <c r="F491" s="365"/>
      <c r="G491" s="307" t="s">
        <v>194</v>
      </c>
      <c r="H491" s="311">
        <v>5.6999999999999996E-6</v>
      </c>
      <c r="I491" s="309">
        <v>837282.81</v>
      </c>
      <c r="J491" s="309">
        <v>4.7699999999999996</v>
      </c>
    </row>
    <row r="492" spans="1:10" ht="25.5" x14ac:dyDescent="0.2">
      <c r="A492" s="306" t="s">
        <v>130</v>
      </c>
      <c r="B492" s="308" t="s">
        <v>290</v>
      </c>
      <c r="C492" s="306" t="s">
        <v>38</v>
      </c>
      <c r="D492" s="306" t="s">
        <v>291</v>
      </c>
      <c r="E492" s="365" t="s">
        <v>61</v>
      </c>
      <c r="F492" s="365"/>
      <c r="G492" s="307" t="s">
        <v>194</v>
      </c>
      <c r="H492" s="311">
        <v>4.5000000000000001E-6</v>
      </c>
      <c r="I492" s="309">
        <v>142758.1</v>
      </c>
      <c r="J492" s="309">
        <v>0.64</v>
      </c>
    </row>
    <row r="493" spans="1:10" ht="15" customHeight="1" x14ac:dyDescent="0.2">
      <c r="A493" s="317"/>
      <c r="B493" s="317"/>
      <c r="C493" s="317"/>
      <c r="D493" s="317"/>
      <c r="E493" s="317"/>
      <c r="F493" s="318"/>
      <c r="G493" s="317"/>
      <c r="H493" s="318"/>
      <c r="I493" s="317"/>
      <c r="J493" s="318"/>
    </row>
    <row r="494" spans="1:10" ht="15" thickBot="1" x14ac:dyDescent="0.25">
      <c r="A494" s="317"/>
      <c r="B494" s="317"/>
      <c r="C494" s="317"/>
      <c r="D494" s="317"/>
      <c r="E494" s="317" t="s">
        <v>123</v>
      </c>
      <c r="F494" s="318">
        <v>1.28</v>
      </c>
      <c r="G494" s="317"/>
      <c r="H494" s="366" t="s">
        <v>124</v>
      </c>
      <c r="I494" s="366"/>
      <c r="J494" s="318">
        <v>6.69</v>
      </c>
    </row>
    <row r="495" spans="1:10" ht="15" thickTop="1" x14ac:dyDescent="0.2">
      <c r="A495" s="299"/>
      <c r="B495" s="299"/>
      <c r="C495" s="299"/>
      <c r="D495" s="299"/>
      <c r="E495" s="299"/>
      <c r="F495" s="299"/>
      <c r="G495" s="299"/>
      <c r="H495" s="299"/>
      <c r="I495" s="299"/>
      <c r="J495" s="299"/>
    </row>
    <row r="496" spans="1:10" ht="15" x14ac:dyDescent="0.2">
      <c r="A496" s="291"/>
      <c r="B496" s="293" t="s">
        <v>6</v>
      </c>
      <c r="C496" s="291" t="s">
        <v>7</v>
      </c>
      <c r="D496" s="291" t="s">
        <v>8</v>
      </c>
      <c r="E496" s="367" t="s">
        <v>114</v>
      </c>
      <c r="F496" s="367"/>
      <c r="G496" s="292" t="s">
        <v>9</v>
      </c>
      <c r="H496" s="293" t="s">
        <v>10</v>
      </c>
      <c r="I496" s="293" t="s">
        <v>11</v>
      </c>
      <c r="J496" s="293" t="s">
        <v>12</v>
      </c>
    </row>
    <row r="497" spans="1:10" ht="51" x14ac:dyDescent="0.2">
      <c r="A497" s="294" t="s">
        <v>115</v>
      </c>
      <c r="B497" s="296" t="s">
        <v>276</v>
      </c>
      <c r="C497" s="294" t="s">
        <v>38</v>
      </c>
      <c r="D497" s="294" t="s">
        <v>277</v>
      </c>
      <c r="E497" s="373" t="s">
        <v>179</v>
      </c>
      <c r="F497" s="373"/>
      <c r="G497" s="295" t="s">
        <v>127</v>
      </c>
      <c r="H497" s="298">
        <v>1</v>
      </c>
      <c r="I497" s="297">
        <v>6.81</v>
      </c>
      <c r="J497" s="297">
        <v>6.81</v>
      </c>
    </row>
    <row r="498" spans="1:10" ht="38.25" x14ac:dyDescent="0.2">
      <c r="A498" s="306" t="s">
        <v>130</v>
      </c>
      <c r="B498" s="308" t="s">
        <v>288</v>
      </c>
      <c r="C498" s="306" t="s">
        <v>38</v>
      </c>
      <c r="D498" s="306" t="s">
        <v>289</v>
      </c>
      <c r="E498" s="365" t="s">
        <v>148</v>
      </c>
      <c r="F498" s="365"/>
      <c r="G498" s="307" t="s">
        <v>194</v>
      </c>
      <c r="H498" s="311">
        <v>7.1999999999999997E-6</v>
      </c>
      <c r="I498" s="309">
        <v>837282.81</v>
      </c>
      <c r="J498" s="309">
        <v>6.02</v>
      </c>
    </row>
    <row r="499" spans="1:10" ht="25.5" x14ac:dyDescent="0.2">
      <c r="A499" s="306" t="s">
        <v>130</v>
      </c>
      <c r="B499" s="308" t="s">
        <v>290</v>
      </c>
      <c r="C499" s="306" t="s">
        <v>38</v>
      </c>
      <c r="D499" s="306" t="s">
        <v>291</v>
      </c>
      <c r="E499" s="365" t="s">
        <v>61</v>
      </c>
      <c r="F499" s="365"/>
      <c r="G499" s="307" t="s">
        <v>194</v>
      </c>
      <c r="H499" s="311">
        <v>5.5999999999999997E-6</v>
      </c>
      <c r="I499" s="309">
        <v>142758.1</v>
      </c>
      <c r="J499" s="309">
        <v>0.79</v>
      </c>
    </row>
    <row r="500" spans="1:10" ht="15" customHeight="1" x14ac:dyDescent="0.2">
      <c r="A500" s="317"/>
      <c r="B500" s="317"/>
      <c r="C500" s="317"/>
      <c r="D500" s="317"/>
      <c r="E500" s="317"/>
      <c r="F500" s="318"/>
      <c r="G500" s="317"/>
      <c r="H500" s="318"/>
      <c r="I500" s="317"/>
      <c r="J500" s="318"/>
    </row>
    <row r="501" spans="1:10" ht="15" thickBot="1" x14ac:dyDescent="0.25">
      <c r="A501" s="317"/>
      <c r="B501" s="317"/>
      <c r="C501" s="317"/>
      <c r="D501" s="317"/>
      <c r="E501" s="317" t="s">
        <v>123</v>
      </c>
      <c r="F501" s="318">
        <v>1.61</v>
      </c>
      <c r="G501" s="317"/>
      <c r="H501" s="366" t="s">
        <v>124</v>
      </c>
      <c r="I501" s="366"/>
      <c r="J501" s="318">
        <v>8.42</v>
      </c>
    </row>
    <row r="502" spans="1:10" ht="15" thickTop="1" x14ac:dyDescent="0.2">
      <c r="A502" s="299"/>
      <c r="B502" s="299"/>
      <c r="C502" s="299"/>
      <c r="D502" s="299"/>
      <c r="E502" s="299"/>
      <c r="F502" s="299"/>
      <c r="G502" s="299"/>
      <c r="H502" s="299"/>
      <c r="I502" s="299"/>
      <c r="J502" s="299"/>
    </row>
    <row r="503" spans="1:10" ht="15" x14ac:dyDescent="0.2">
      <c r="A503" s="291"/>
      <c r="B503" s="293" t="s">
        <v>6</v>
      </c>
      <c r="C503" s="291" t="s">
        <v>7</v>
      </c>
      <c r="D503" s="291" t="s">
        <v>8</v>
      </c>
      <c r="E503" s="367" t="s">
        <v>114</v>
      </c>
      <c r="F503" s="367"/>
      <c r="G503" s="292" t="s">
        <v>9</v>
      </c>
      <c r="H503" s="293" t="s">
        <v>10</v>
      </c>
      <c r="I503" s="293" t="s">
        <v>11</v>
      </c>
      <c r="J503" s="293" t="s">
        <v>12</v>
      </c>
    </row>
    <row r="504" spans="1:10" ht="51" x14ac:dyDescent="0.2">
      <c r="A504" s="294" t="s">
        <v>115</v>
      </c>
      <c r="B504" s="296" t="s">
        <v>284</v>
      </c>
      <c r="C504" s="294" t="s">
        <v>38</v>
      </c>
      <c r="D504" s="294" t="s">
        <v>285</v>
      </c>
      <c r="E504" s="373" t="s">
        <v>179</v>
      </c>
      <c r="F504" s="373"/>
      <c r="G504" s="295" t="s">
        <v>127</v>
      </c>
      <c r="H504" s="298">
        <v>1</v>
      </c>
      <c r="I504" s="297">
        <v>59.54</v>
      </c>
      <c r="J504" s="297">
        <v>59.54</v>
      </c>
    </row>
    <row r="505" spans="1:10" ht="38.25" x14ac:dyDescent="0.2">
      <c r="A505" s="306" t="s">
        <v>130</v>
      </c>
      <c r="B505" s="308" t="s">
        <v>288</v>
      </c>
      <c r="C505" s="306" t="s">
        <v>38</v>
      </c>
      <c r="D505" s="306" t="s">
        <v>289</v>
      </c>
      <c r="E505" s="365" t="s">
        <v>148</v>
      </c>
      <c r="F505" s="365"/>
      <c r="G505" s="307" t="s">
        <v>194</v>
      </c>
      <c r="H505" s="311">
        <v>6.4300000000000004E-5</v>
      </c>
      <c r="I505" s="309">
        <v>837282.81</v>
      </c>
      <c r="J505" s="309">
        <v>53.83</v>
      </c>
    </row>
    <row r="506" spans="1:10" ht="26.25" customHeight="1" x14ac:dyDescent="0.2">
      <c r="A506" s="306" t="s">
        <v>130</v>
      </c>
      <c r="B506" s="308" t="s">
        <v>290</v>
      </c>
      <c r="C506" s="306" t="s">
        <v>38</v>
      </c>
      <c r="D506" s="306" t="s">
        <v>291</v>
      </c>
      <c r="E506" s="365" t="s">
        <v>61</v>
      </c>
      <c r="F506" s="365"/>
      <c r="G506" s="307" t="s">
        <v>194</v>
      </c>
      <c r="H506" s="311">
        <v>4.0000000000000003E-5</v>
      </c>
      <c r="I506" s="309">
        <v>142758.1</v>
      </c>
      <c r="J506" s="309">
        <v>5.71</v>
      </c>
    </row>
    <row r="507" spans="1:10" x14ac:dyDescent="0.2">
      <c r="A507" s="317"/>
      <c r="B507" s="317"/>
      <c r="C507" s="317"/>
      <c r="D507" s="317"/>
      <c r="E507" s="317"/>
      <c r="F507" s="318"/>
      <c r="G507" s="317"/>
      <c r="H507" s="318"/>
      <c r="I507" s="317"/>
      <c r="J507" s="318"/>
    </row>
    <row r="508" spans="1:10" ht="15" thickBot="1" x14ac:dyDescent="0.25">
      <c r="A508" s="317"/>
      <c r="B508" s="317"/>
      <c r="C508" s="317"/>
      <c r="D508" s="317"/>
      <c r="E508" s="317" t="s">
        <v>123</v>
      </c>
      <c r="F508" s="318">
        <v>14.11</v>
      </c>
      <c r="G508" s="317"/>
      <c r="H508" s="366" t="s">
        <v>124</v>
      </c>
      <c r="I508" s="366"/>
      <c r="J508" s="318">
        <v>73.650000000000006</v>
      </c>
    </row>
    <row r="509" spans="1:10" ht="15" thickTop="1" x14ac:dyDescent="0.2">
      <c r="A509" s="299"/>
      <c r="B509" s="299"/>
      <c r="C509" s="299"/>
      <c r="D509" s="299"/>
      <c r="E509" s="299"/>
      <c r="F509" s="299"/>
      <c r="G509" s="299"/>
      <c r="H509" s="299"/>
      <c r="I509" s="299"/>
      <c r="J509" s="299"/>
    </row>
    <row r="510" spans="1:10" ht="15" x14ac:dyDescent="0.2">
      <c r="A510" s="291"/>
      <c r="B510" s="293" t="s">
        <v>6</v>
      </c>
      <c r="C510" s="291" t="s">
        <v>7</v>
      </c>
      <c r="D510" s="291" t="s">
        <v>8</v>
      </c>
      <c r="E510" s="367" t="s">
        <v>114</v>
      </c>
      <c r="F510" s="367"/>
      <c r="G510" s="292" t="s">
        <v>9</v>
      </c>
      <c r="H510" s="293" t="s">
        <v>10</v>
      </c>
      <c r="I510" s="293" t="s">
        <v>11</v>
      </c>
      <c r="J510" s="293" t="s">
        <v>12</v>
      </c>
    </row>
    <row r="511" spans="1:10" ht="51" x14ac:dyDescent="0.2">
      <c r="A511" s="294" t="s">
        <v>115</v>
      </c>
      <c r="B511" s="296" t="s">
        <v>286</v>
      </c>
      <c r="C511" s="294" t="s">
        <v>38</v>
      </c>
      <c r="D511" s="294" t="s">
        <v>287</v>
      </c>
      <c r="E511" s="373" t="s">
        <v>179</v>
      </c>
      <c r="F511" s="373"/>
      <c r="G511" s="295" t="s">
        <v>127</v>
      </c>
      <c r="H511" s="298">
        <v>1</v>
      </c>
      <c r="I511" s="297">
        <v>345.83</v>
      </c>
      <c r="J511" s="297">
        <v>345.83</v>
      </c>
    </row>
    <row r="512" spans="1:10" x14ac:dyDescent="0.2">
      <c r="A512" s="306" t="s">
        <v>130</v>
      </c>
      <c r="B512" s="308" t="s">
        <v>273</v>
      </c>
      <c r="C512" s="306" t="s">
        <v>38</v>
      </c>
      <c r="D512" s="306" t="s">
        <v>274</v>
      </c>
      <c r="E512" s="365" t="s">
        <v>61</v>
      </c>
      <c r="F512" s="365"/>
      <c r="G512" s="307" t="s">
        <v>275</v>
      </c>
      <c r="H512" s="311">
        <v>50.34</v>
      </c>
      <c r="I512" s="309">
        <v>6.87</v>
      </c>
      <c r="J512" s="309">
        <v>345.83</v>
      </c>
    </row>
    <row r="513" spans="1:10" ht="15" customHeight="1" x14ac:dyDescent="0.2">
      <c r="A513" s="317"/>
      <c r="B513" s="317"/>
      <c r="C513" s="317"/>
      <c r="D513" s="317"/>
      <c r="E513" s="317"/>
      <c r="F513" s="318"/>
      <c r="G513" s="317"/>
      <c r="H513" s="318"/>
      <c r="I513" s="317"/>
      <c r="J513" s="318"/>
    </row>
    <row r="514" spans="1:10" ht="15" thickBot="1" x14ac:dyDescent="0.25">
      <c r="A514" s="317"/>
      <c r="B514" s="317"/>
      <c r="C514" s="317"/>
      <c r="D514" s="317"/>
      <c r="E514" s="317" t="s">
        <v>123</v>
      </c>
      <c r="F514" s="318">
        <v>81.96</v>
      </c>
      <c r="G514" s="317"/>
      <c r="H514" s="366" t="s">
        <v>124</v>
      </c>
      <c r="I514" s="366"/>
      <c r="J514" s="318">
        <v>427.79</v>
      </c>
    </row>
    <row r="515" spans="1:10" ht="15" thickTop="1" x14ac:dyDescent="0.2">
      <c r="A515" s="299"/>
      <c r="B515" s="299"/>
      <c r="C515" s="299"/>
      <c r="D515" s="299"/>
      <c r="E515" s="299"/>
      <c r="F515" s="299"/>
      <c r="G515" s="299"/>
      <c r="H515" s="299"/>
      <c r="I515" s="299"/>
      <c r="J515" s="299"/>
    </row>
    <row r="516" spans="1:10" ht="15" x14ac:dyDescent="0.2">
      <c r="A516" s="291"/>
      <c r="B516" s="293" t="s">
        <v>6</v>
      </c>
      <c r="C516" s="291" t="s">
        <v>7</v>
      </c>
      <c r="D516" s="291" t="s">
        <v>8</v>
      </c>
      <c r="E516" s="367" t="s">
        <v>114</v>
      </c>
      <c r="F516" s="367"/>
      <c r="G516" s="292" t="s">
        <v>9</v>
      </c>
      <c r="H516" s="293" t="s">
        <v>10</v>
      </c>
      <c r="I516" s="293" t="s">
        <v>11</v>
      </c>
      <c r="J516" s="293" t="s">
        <v>12</v>
      </c>
    </row>
    <row r="517" spans="1:10" x14ac:dyDescent="0.2">
      <c r="A517" s="294" t="s">
        <v>115</v>
      </c>
      <c r="B517" s="296" t="s">
        <v>128</v>
      </c>
      <c r="C517" s="294" t="s">
        <v>38</v>
      </c>
      <c r="D517" s="294" t="s">
        <v>129</v>
      </c>
      <c r="E517" s="373" t="s">
        <v>116</v>
      </c>
      <c r="F517" s="373"/>
      <c r="G517" s="295" t="s">
        <v>127</v>
      </c>
      <c r="H517" s="298">
        <v>1</v>
      </c>
      <c r="I517" s="297">
        <v>28.32</v>
      </c>
      <c r="J517" s="297">
        <v>28.32</v>
      </c>
    </row>
    <row r="518" spans="1:10" ht="25.5" x14ac:dyDescent="0.2">
      <c r="A518" s="300" t="s">
        <v>117</v>
      </c>
      <c r="B518" s="302" t="s">
        <v>292</v>
      </c>
      <c r="C518" s="300" t="s">
        <v>38</v>
      </c>
      <c r="D518" s="300" t="s">
        <v>293</v>
      </c>
      <c r="E518" s="368" t="s">
        <v>116</v>
      </c>
      <c r="F518" s="368"/>
      <c r="G518" s="301" t="s">
        <v>127</v>
      </c>
      <c r="H518" s="305">
        <v>1</v>
      </c>
      <c r="I518" s="303">
        <v>0.19</v>
      </c>
      <c r="J518" s="303">
        <v>0.19</v>
      </c>
    </row>
    <row r="519" spans="1:10" ht="15" customHeight="1" x14ac:dyDescent="0.2">
      <c r="A519" s="306" t="s">
        <v>130</v>
      </c>
      <c r="B519" s="308" t="s">
        <v>264</v>
      </c>
      <c r="C519" s="306" t="s">
        <v>38</v>
      </c>
      <c r="D519" s="306" t="s">
        <v>265</v>
      </c>
      <c r="E519" s="365" t="s">
        <v>225</v>
      </c>
      <c r="F519" s="365"/>
      <c r="G519" s="307" t="s">
        <v>127</v>
      </c>
      <c r="H519" s="311">
        <v>1</v>
      </c>
      <c r="I519" s="309">
        <v>3.84</v>
      </c>
      <c r="J519" s="309">
        <v>3.84</v>
      </c>
    </row>
    <row r="520" spans="1:10" x14ac:dyDescent="0.2">
      <c r="A520" s="306" t="s">
        <v>130</v>
      </c>
      <c r="B520" s="308" t="s">
        <v>294</v>
      </c>
      <c r="C520" s="306" t="s">
        <v>38</v>
      </c>
      <c r="D520" s="306" t="s">
        <v>295</v>
      </c>
      <c r="E520" s="365" t="s">
        <v>160</v>
      </c>
      <c r="F520" s="365"/>
      <c r="G520" s="307" t="s">
        <v>127</v>
      </c>
      <c r="H520" s="311">
        <v>1</v>
      </c>
      <c r="I520" s="309">
        <v>20.52</v>
      </c>
      <c r="J520" s="309">
        <v>20.52</v>
      </c>
    </row>
    <row r="521" spans="1:10" ht="25.5" x14ac:dyDescent="0.2">
      <c r="A521" s="306" t="s">
        <v>130</v>
      </c>
      <c r="B521" s="308" t="s">
        <v>296</v>
      </c>
      <c r="C521" s="306" t="s">
        <v>38</v>
      </c>
      <c r="D521" s="306" t="s">
        <v>297</v>
      </c>
      <c r="E521" s="365" t="s">
        <v>148</v>
      </c>
      <c r="F521" s="365"/>
      <c r="G521" s="307" t="s">
        <v>127</v>
      </c>
      <c r="H521" s="311">
        <v>1</v>
      </c>
      <c r="I521" s="309">
        <v>1.26</v>
      </c>
      <c r="J521" s="309">
        <v>1.26</v>
      </c>
    </row>
    <row r="522" spans="1:10" x14ac:dyDescent="0.2">
      <c r="A522" s="306" t="s">
        <v>130</v>
      </c>
      <c r="B522" s="308" t="s">
        <v>223</v>
      </c>
      <c r="C522" s="306" t="s">
        <v>38</v>
      </c>
      <c r="D522" s="306" t="s">
        <v>224</v>
      </c>
      <c r="E522" s="365" t="s">
        <v>225</v>
      </c>
      <c r="F522" s="365"/>
      <c r="G522" s="307" t="s">
        <v>127</v>
      </c>
      <c r="H522" s="311">
        <v>1</v>
      </c>
      <c r="I522" s="309">
        <v>0.81</v>
      </c>
      <c r="J522" s="309">
        <v>0.81</v>
      </c>
    </row>
    <row r="523" spans="1:10" ht="25.5" x14ac:dyDescent="0.2">
      <c r="A523" s="306" t="s">
        <v>130</v>
      </c>
      <c r="B523" s="308" t="s">
        <v>298</v>
      </c>
      <c r="C523" s="306" t="s">
        <v>38</v>
      </c>
      <c r="D523" s="306" t="s">
        <v>299</v>
      </c>
      <c r="E523" s="365" t="s">
        <v>148</v>
      </c>
      <c r="F523" s="365"/>
      <c r="G523" s="307" t="s">
        <v>127</v>
      </c>
      <c r="H523" s="311">
        <v>1</v>
      </c>
      <c r="I523" s="309">
        <v>0.45</v>
      </c>
      <c r="J523" s="309">
        <v>0.45</v>
      </c>
    </row>
    <row r="524" spans="1:10" x14ac:dyDescent="0.2">
      <c r="A524" s="306" t="s">
        <v>130</v>
      </c>
      <c r="B524" s="308" t="s">
        <v>228</v>
      </c>
      <c r="C524" s="306" t="s">
        <v>38</v>
      </c>
      <c r="D524" s="306" t="s">
        <v>229</v>
      </c>
      <c r="E524" s="365" t="s">
        <v>230</v>
      </c>
      <c r="F524" s="365"/>
      <c r="G524" s="307" t="s">
        <v>127</v>
      </c>
      <c r="H524" s="311">
        <v>1</v>
      </c>
      <c r="I524" s="309">
        <v>0.06</v>
      </c>
      <c r="J524" s="309">
        <v>0.06</v>
      </c>
    </row>
    <row r="525" spans="1:10" ht="15" customHeight="1" x14ac:dyDescent="0.2">
      <c r="A525" s="306" t="s">
        <v>130</v>
      </c>
      <c r="B525" s="308" t="s">
        <v>270</v>
      </c>
      <c r="C525" s="306" t="s">
        <v>38</v>
      </c>
      <c r="D525" s="306" t="s">
        <v>271</v>
      </c>
      <c r="E525" s="365" t="s">
        <v>272</v>
      </c>
      <c r="F525" s="365"/>
      <c r="G525" s="307" t="s">
        <v>127</v>
      </c>
      <c r="H525" s="311">
        <v>1</v>
      </c>
      <c r="I525" s="309">
        <v>1.19</v>
      </c>
      <c r="J525" s="309">
        <v>1.19</v>
      </c>
    </row>
    <row r="526" spans="1:10" x14ac:dyDescent="0.2">
      <c r="A526" s="317"/>
      <c r="B526" s="317"/>
      <c r="C526" s="317"/>
      <c r="D526" s="317"/>
      <c r="E526" s="317"/>
      <c r="F526" s="318"/>
      <c r="G526" s="317"/>
      <c r="H526" s="318"/>
      <c r="I526" s="317"/>
      <c r="J526" s="318"/>
    </row>
    <row r="527" spans="1:10" ht="15" thickBot="1" x14ac:dyDescent="0.25">
      <c r="A527" s="317"/>
      <c r="B527" s="317"/>
      <c r="C527" s="317"/>
      <c r="D527" s="317"/>
      <c r="E527" s="317" t="s">
        <v>123</v>
      </c>
      <c r="F527" s="318">
        <v>6.71</v>
      </c>
      <c r="G527" s="317"/>
      <c r="H527" s="366" t="s">
        <v>124</v>
      </c>
      <c r="I527" s="366"/>
      <c r="J527" s="318">
        <v>35.03</v>
      </c>
    </row>
    <row r="528" spans="1:10" ht="15" thickTop="1" x14ac:dyDescent="0.2">
      <c r="A528" s="299"/>
      <c r="B528" s="299"/>
      <c r="C528" s="299"/>
      <c r="D528" s="299"/>
      <c r="E528" s="299"/>
      <c r="F528" s="299"/>
      <c r="G528" s="299"/>
      <c r="H528" s="299"/>
      <c r="I528" s="299"/>
      <c r="J528" s="299"/>
    </row>
    <row r="529" spans="1:10" ht="15" x14ac:dyDescent="0.2">
      <c r="A529" s="291"/>
      <c r="B529" s="293" t="s">
        <v>6</v>
      </c>
      <c r="C529" s="291" t="s">
        <v>7</v>
      </c>
      <c r="D529" s="291" t="s">
        <v>8</v>
      </c>
      <c r="E529" s="367" t="s">
        <v>114</v>
      </c>
      <c r="F529" s="367"/>
      <c r="G529" s="292" t="s">
        <v>9</v>
      </c>
      <c r="H529" s="293" t="s">
        <v>10</v>
      </c>
      <c r="I529" s="293" t="s">
        <v>11</v>
      </c>
      <c r="J529" s="293" t="s">
        <v>12</v>
      </c>
    </row>
    <row r="530" spans="1:10" ht="38.25" x14ac:dyDescent="0.2">
      <c r="A530" s="294" t="s">
        <v>115</v>
      </c>
      <c r="B530" s="296" t="s">
        <v>706</v>
      </c>
      <c r="C530" s="294" t="s">
        <v>38</v>
      </c>
      <c r="D530" s="294" t="s">
        <v>707</v>
      </c>
      <c r="E530" s="373" t="s">
        <v>708</v>
      </c>
      <c r="F530" s="373"/>
      <c r="G530" s="295" t="s">
        <v>49</v>
      </c>
      <c r="H530" s="298">
        <v>1</v>
      </c>
      <c r="I530" s="297">
        <v>426.94</v>
      </c>
      <c r="J530" s="297">
        <v>426.94</v>
      </c>
    </row>
    <row r="531" spans="1:10" ht="51.75" customHeight="1" x14ac:dyDescent="0.2">
      <c r="A531" s="300" t="s">
        <v>117</v>
      </c>
      <c r="B531" s="302" t="s">
        <v>207</v>
      </c>
      <c r="C531" s="300" t="s">
        <v>38</v>
      </c>
      <c r="D531" s="300" t="s">
        <v>208</v>
      </c>
      <c r="E531" s="368" t="s">
        <v>179</v>
      </c>
      <c r="F531" s="368"/>
      <c r="G531" s="301" t="s">
        <v>183</v>
      </c>
      <c r="H531" s="305">
        <v>0.76229999999999998</v>
      </c>
      <c r="I531" s="303">
        <v>2.11</v>
      </c>
      <c r="J531" s="303">
        <v>1.6</v>
      </c>
    </row>
    <row r="532" spans="1:10" ht="38.25" x14ac:dyDescent="0.2">
      <c r="A532" s="300" t="s">
        <v>117</v>
      </c>
      <c r="B532" s="302" t="s">
        <v>209</v>
      </c>
      <c r="C532" s="300" t="s">
        <v>38</v>
      </c>
      <c r="D532" s="300" t="s">
        <v>210</v>
      </c>
      <c r="E532" s="368" t="s">
        <v>179</v>
      </c>
      <c r="F532" s="368"/>
      <c r="G532" s="301" t="s">
        <v>180</v>
      </c>
      <c r="H532" s="305">
        <v>0.71879999999999999</v>
      </c>
      <c r="I532" s="303">
        <v>0.38</v>
      </c>
      <c r="J532" s="303">
        <v>0.27</v>
      </c>
    </row>
    <row r="533" spans="1:10" ht="25.5" x14ac:dyDescent="0.2">
      <c r="A533" s="300" t="s">
        <v>117</v>
      </c>
      <c r="B533" s="302" t="s">
        <v>125</v>
      </c>
      <c r="C533" s="300" t="s">
        <v>38</v>
      </c>
      <c r="D533" s="300" t="s">
        <v>126</v>
      </c>
      <c r="E533" s="368" t="s">
        <v>116</v>
      </c>
      <c r="F533" s="368"/>
      <c r="G533" s="301" t="s">
        <v>127</v>
      </c>
      <c r="H533" s="305">
        <v>2.3433000000000002</v>
      </c>
      <c r="I533" s="303">
        <v>19.920000000000002</v>
      </c>
      <c r="J533" s="303">
        <v>46.67</v>
      </c>
    </row>
    <row r="534" spans="1:10" ht="25.5" x14ac:dyDescent="0.2">
      <c r="A534" s="300" t="s">
        <v>117</v>
      </c>
      <c r="B534" s="302" t="s">
        <v>211</v>
      </c>
      <c r="C534" s="300" t="s">
        <v>38</v>
      </c>
      <c r="D534" s="300" t="s">
        <v>212</v>
      </c>
      <c r="E534" s="368" t="s">
        <v>116</v>
      </c>
      <c r="F534" s="368"/>
      <c r="G534" s="301" t="s">
        <v>127</v>
      </c>
      <c r="H534" s="305">
        <v>1.4811000000000001</v>
      </c>
      <c r="I534" s="303">
        <v>28.38</v>
      </c>
      <c r="J534" s="303">
        <v>42.03</v>
      </c>
    </row>
    <row r="535" spans="1:10" ht="25.5" x14ac:dyDescent="0.2">
      <c r="A535" s="306" t="s">
        <v>130</v>
      </c>
      <c r="B535" s="308" t="s">
        <v>213</v>
      </c>
      <c r="C535" s="306" t="s">
        <v>38</v>
      </c>
      <c r="D535" s="306" t="s">
        <v>214</v>
      </c>
      <c r="E535" s="365" t="s">
        <v>61</v>
      </c>
      <c r="F535" s="365"/>
      <c r="G535" s="307" t="s">
        <v>49</v>
      </c>
      <c r="H535" s="311">
        <v>0.82689999999999997</v>
      </c>
      <c r="I535" s="309">
        <v>115</v>
      </c>
      <c r="J535" s="309">
        <v>95.09</v>
      </c>
    </row>
    <row r="536" spans="1:10" x14ac:dyDescent="0.2">
      <c r="A536" s="306" t="s">
        <v>130</v>
      </c>
      <c r="B536" s="308" t="s">
        <v>215</v>
      </c>
      <c r="C536" s="306" t="s">
        <v>38</v>
      </c>
      <c r="D536" s="306" t="s">
        <v>216</v>
      </c>
      <c r="E536" s="365" t="s">
        <v>61</v>
      </c>
      <c r="F536" s="365"/>
      <c r="G536" s="307" t="s">
        <v>41</v>
      </c>
      <c r="H536" s="311">
        <v>212.01939999999999</v>
      </c>
      <c r="I536" s="309">
        <v>0.87</v>
      </c>
      <c r="J536" s="309">
        <v>184.45</v>
      </c>
    </row>
    <row r="537" spans="1:10" ht="26.25" customHeight="1" x14ac:dyDescent="0.2">
      <c r="A537" s="306" t="s">
        <v>130</v>
      </c>
      <c r="B537" s="308" t="s">
        <v>778</v>
      </c>
      <c r="C537" s="306" t="s">
        <v>38</v>
      </c>
      <c r="D537" s="306" t="s">
        <v>779</v>
      </c>
      <c r="E537" s="365" t="s">
        <v>61</v>
      </c>
      <c r="F537" s="365"/>
      <c r="G537" s="307" t="s">
        <v>49</v>
      </c>
      <c r="H537" s="311">
        <v>0.57820000000000005</v>
      </c>
      <c r="I537" s="309">
        <v>98.29</v>
      </c>
      <c r="J537" s="309">
        <v>56.83</v>
      </c>
    </row>
    <row r="538" spans="1:10" x14ac:dyDescent="0.2">
      <c r="A538" s="317"/>
      <c r="B538" s="317"/>
      <c r="C538" s="317"/>
      <c r="D538" s="317"/>
      <c r="E538" s="317"/>
      <c r="F538" s="318"/>
      <c r="G538" s="317"/>
      <c r="H538" s="318"/>
      <c r="I538" s="317"/>
      <c r="J538" s="318"/>
    </row>
    <row r="539" spans="1:10" ht="15" thickBot="1" x14ac:dyDescent="0.25">
      <c r="A539" s="317"/>
      <c r="B539" s="317"/>
      <c r="C539" s="317"/>
      <c r="D539" s="317"/>
      <c r="E539" s="317" t="s">
        <v>123</v>
      </c>
      <c r="F539" s="318">
        <v>101.18</v>
      </c>
      <c r="G539" s="317"/>
      <c r="H539" s="366" t="s">
        <v>124</v>
      </c>
      <c r="I539" s="366"/>
      <c r="J539" s="318">
        <v>528.12</v>
      </c>
    </row>
    <row r="540" spans="1:10" ht="15" thickTop="1" x14ac:dyDescent="0.2">
      <c r="A540" s="299"/>
      <c r="B540" s="299"/>
      <c r="C540" s="299"/>
      <c r="D540" s="299"/>
      <c r="E540" s="299"/>
      <c r="F540" s="299"/>
      <c r="G540" s="299"/>
      <c r="H540" s="299"/>
      <c r="I540" s="299"/>
      <c r="J540" s="299"/>
    </row>
    <row r="541" spans="1:10" ht="15" x14ac:dyDescent="0.2">
      <c r="A541" s="291"/>
      <c r="B541" s="293" t="s">
        <v>6</v>
      </c>
      <c r="C541" s="291" t="s">
        <v>7</v>
      </c>
      <c r="D541" s="291" t="s">
        <v>8</v>
      </c>
      <c r="E541" s="367" t="s">
        <v>114</v>
      </c>
      <c r="F541" s="367"/>
      <c r="G541" s="292" t="s">
        <v>9</v>
      </c>
      <c r="H541" s="293" t="s">
        <v>10</v>
      </c>
      <c r="I541" s="293" t="s">
        <v>11</v>
      </c>
      <c r="J541" s="293" t="s">
        <v>12</v>
      </c>
    </row>
    <row r="542" spans="1:10" ht="25.5" x14ac:dyDescent="0.2">
      <c r="A542" s="294" t="s">
        <v>115</v>
      </c>
      <c r="B542" s="296" t="s">
        <v>217</v>
      </c>
      <c r="C542" s="294" t="s">
        <v>38</v>
      </c>
      <c r="D542" s="294" t="s">
        <v>218</v>
      </c>
      <c r="E542" s="373" t="s">
        <v>116</v>
      </c>
      <c r="F542" s="373"/>
      <c r="G542" s="295" t="s">
        <v>127</v>
      </c>
      <c r="H542" s="298">
        <v>1</v>
      </c>
      <c r="I542" s="297">
        <v>7.0000000000000007E-2</v>
      </c>
      <c r="J542" s="297">
        <v>7.0000000000000007E-2</v>
      </c>
    </row>
    <row r="543" spans="1:10" ht="15" customHeight="1" x14ac:dyDescent="0.2">
      <c r="A543" s="306" t="s">
        <v>130</v>
      </c>
      <c r="B543" s="308" t="s">
        <v>219</v>
      </c>
      <c r="C543" s="306" t="s">
        <v>38</v>
      </c>
      <c r="D543" s="306" t="s">
        <v>220</v>
      </c>
      <c r="E543" s="365" t="s">
        <v>160</v>
      </c>
      <c r="F543" s="365"/>
      <c r="G543" s="307" t="s">
        <v>127</v>
      </c>
      <c r="H543" s="311">
        <v>4.1000000000000003E-3</v>
      </c>
      <c r="I543" s="309">
        <v>18.100000000000001</v>
      </c>
      <c r="J543" s="309">
        <v>7.0000000000000007E-2</v>
      </c>
    </row>
    <row r="544" spans="1:10" x14ac:dyDescent="0.2">
      <c r="A544" s="317"/>
      <c r="B544" s="317"/>
      <c r="C544" s="317"/>
      <c r="D544" s="317"/>
      <c r="E544" s="317"/>
      <c r="F544" s="318"/>
      <c r="G544" s="317"/>
      <c r="H544" s="318"/>
      <c r="I544" s="317"/>
      <c r="J544" s="318"/>
    </row>
    <row r="545" spans="1:10" ht="15" thickBot="1" x14ac:dyDescent="0.25">
      <c r="A545" s="317"/>
      <c r="B545" s="317"/>
      <c r="C545" s="317"/>
      <c r="D545" s="317"/>
      <c r="E545" s="317" t="s">
        <v>123</v>
      </c>
      <c r="F545" s="318">
        <v>0.01</v>
      </c>
      <c r="G545" s="317"/>
      <c r="H545" s="366" t="s">
        <v>124</v>
      </c>
      <c r="I545" s="366"/>
      <c r="J545" s="318">
        <v>0.08</v>
      </c>
    </row>
    <row r="546" spans="1:10" ht="15" thickTop="1" x14ac:dyDescent="0.2">
      <c r="A546" s="299"/>
      <c r="B546" s="299"/>
      <c r="C546" s="299"/>
      <c r="D546" s="299"/>
      <c r="E546" s="299"/>
      <c r="F546" s="299"/>
      <c r="G546" s="299"/>
      <c r="H546" s="299"/>
      <c r="I546" s="299"/>
      <c r="J546" s="299"/>
    </row>
    <row r="547" spans="1:10" ht="15" x14ac:dyDescent="0.2">
      <c r="A547" s="291"/>
      <c r="B547" s="293" t="s">
        <v>6</v>
      </c>
      <c r="C547" s="291" t="s">
        <v>7</v>
      </c>
      <c r="D547" s="291" t="s">
        <v>8</v>
      </c>
      <c r="E547" s="367" t="s">
        <v>114</v>
      </c>
      <c r="F547" s="367"/>
      <c r="G547" s="292" t="s">
        <v>9</v>
      </c>
      <c r="H547" s="293" t="s">
        <v>10</v>
      </c>
      <c r="I547" s="293" t="s">
        <v>11</v>
      </c>
      <c r="J547" s="293" t="s">
        <v>12</v>
      </c>
    </row>
    <row r="548" spans="1:10" ht="25.5" x14ac:dyDescent="0.2">
      <c r="A548" s="294" t="s">
        <v>115</v>
      </c>
      <c r="B548" s="296" t="s">
        <v>231</v>
      </c>
      <c r="C548" s="294" t="s">
        <v>38</v>
      </c>
      <c r="D548" s="294" t="s">
        <v>232</v>
      </c>
      <c r="E548" s="373" t="s">
        <v>116</v>
      </c>
      <c r="F548" s="373"/>
      <c r="G548" s="295" t="s">
        <v>127</v>
      </c>
      <c r="H548" s="298">
        <v>1</v>
      </c>
      <c r="I548" s="297">
        <v>0.17</v>
      </c>
      <c r="J548" s="297">
        <v>0.17</v>
      </c>
    </row>
    <row r="549" spans="1:10" ht="15" customHeight="1" x14ac:dyDescent="0.2">
      <c r="A549" s="306" t="s">
        <v>130</v>
      </c>
      <c r="B549" s="308" t="s">
        <v>233</v>
      </c>
      <c r="C549" s="306" t="s">
        <v>38</v>
      </c>
      <c r="D549" s="306" t="s">
        <v>234</v>
      </c>
      <c r="E549" s="365" t="s">
        <v>160</v>
      </c>
      <c r="F549" s="365"/>
      <c r="G549" s="307" t="s">
        <v>127</v>
      </c>
      <c r="H549" s="311">
        <v>6.7000000000000002E-3</v>
      </c>
      <c r="I549" s="309">
        <v>26.33</v>
      </c>
      <c r="J549" s="309">
        <v>0.17</v>
      </c>
    </row>
    <row r="550" spans="1:10" x14ac:dyDescent="0.2">
      <c r="A550" s="317"/>
      <c r="B550" s="317"/>
      <c r="C550" s="317"/>
      <c r="D550" s="317"/>
      <c r="E550" s="317"/>
      <c r="F550" s="318"/>
      <c r="G550" s="317"/>
      <c r="H550" s="318"/>
      <c r="I550" s="317"/>
      <c r="J550" s="318"/>
    </row>
    <row r="551" spans="1:10" ht="15" thickBot="1" x14ac:dyDescent="0.25">
      <c r="A551" s="317"/>
      <c r="B551" s="317"/>
      <c r="C551" s="317"/>
      <c r="D551" s="317"/>
      <c r="E551" s="317" t="s">
        <v>123</v>
      </c>
      <c r="F551" s="318">
        <v>0.04</v>
      </c>
      <c r="G551" s="317"/>
      <c r="H551" s="366" t="s">
        <v>124</v>
      </c>
      <c r="I551" s="366"/>
      <c r="J551" s="318">
        <v>0.21</v>
      </c>
    </row>
    <row r="552" spans="1:10" ht="15" thickTop="1" x14ac:dyDescent="0.2">
      <c r="A552" s="299"/>
      <c r="B552" s="299"/>
      <c r="C552" s="299"/>
      <c r="D552" s="299"/>
      <c r="E552" s="299"/>
      <c r="F552" s="299"/>
      <c r="G552" s="299"/>
      <c r="H552" s="299"/>
      <c r="I552" s="299"/>
      <c r="J552" s="299"/>
    </row>
    <row r="553" spans="1:10" ht="15" x14ac:dyDescent="0.2">
      <c r="A553" s="291"/>
      <c r="B553" s="293" t="s">
        <v>6</v>
      </c>
      <c r="C553" s="291" t="s">
        <v>7</v>
      </c>
      <c r="D553" s="291" t="s">
        <v>8</v>
      </c>
      <c r="E553" s="367" t="s">
        <v>114</v>
      </c>
      <c r="F553" s="367"/>
      <c r="G553" s="292" t="s">
        <v>9</v>
      </c>
      <c r="H553" s="293" t="s">
        <v>10</v>
      </c>
      <c r="I553" s="293" t="s">
        <v>11</v>
      </c>
      <c r="J553" s="293" t="s">
        <v>12</v>
      </c>
    </row>
    <row r="554" spans="1:10" ht="25.5" x14ac:dyDescent="0.2">
      <c r="A554" s="294" t="s">
        <v>115</v>
      </c>
      <c r="B554" s="296" t="s">
        <v>292</v>
      </c>
      <c r="C554" s="294" t="s">
        <v>38</v>
      </c>
      <c r="D554" s="294" t="s">
        <v>293</v>
      </c>
      <c r="E554" s="373" t="s">
        <v>116</v>
      </c>
      <c r="F554" s="373"/>
      <c r="G554" s="295" t="s">
        <v>127</v>
      </c>
      <c r="H554" s="298">
        <v>1</v>
      </c>
      <c r="I554" s="297">
        <v>0.19</v>
      </c>
      <c r="J554" s="297">
        <v>0.19</v>
      </c>
    </row>
    <row r="555" spans="1:10" ht="15" customHeight="1" x14ac:dyDescent="0.2">
      <c r="A555" s="306" t="s">
        <v>130</v>
      </c>
      <c r="B555" s="308" t="s">
        <v>294</v>
      </c>
      <c r="C555" s="306" t="s">
        <v>38</v>
      </c>
      <c r="D555" s="306" t="s">
        <v>295</v>
      </c>
      <c r="E555" s="365" t="s">
        <v>160</v>
      </c>
      <c r="F555" s="365"/>
      <c r="G555" s="307" t="s">
        <v>127</v>
      </c>
      <c r="H555" s="311">
        <v>9.4000000000000004E-3</v>
      </c>
      <c r="I555" s="309">
        <v>20.52</v>
      </c>
      <c r="J555" s="309">
        <v>0.19</v>
      </c>
    </row>
    <row r="556" spans="1:10" x14ac:dyDescent="0.2">
      <c r="A556" s="317"/>
      <c r="B556" s="317"/>
      <c r="C556" s="317"/>
      <c r="D556" s="317"/>
      <c r="E556" s="317"/>
      <c r="F556" s="318"/>
      <c r="G556" s="317"/>
      <c r="H556" s="318"/>
      <c r="I556" s="317"/>
      <c r="J556" s="318"/>
    </row>
    <row r="557" spans="1:10" ht="15" thickBot="1" x14ac:dyDescent="0.25">
      <c r="A557" s="317"/>
      <c r="B557" s="317"/>
      <c r="C557" s="317"/>
      <c r="D557" s="317"/>
      <c r="E557" s="317" t="s">
        <v>123</v>
      </c>
      <c r="F557" s="318">
        <v>0.04</v>
      </c>
      <c r="G557" s="317"/>
      <c r="H557" s="366" t="s">
        <v>124</v>
      </c>
      <c r="I557" s="366"/>
      <c r="J557" s="318">
        <v>0.23</v>
      </c>
    </row>
    <row r="558" spans="1:10" ht="15" thickTop="1" x14ac:dyDescent="0.2">
      <c r="A558" s="299"/>
      <c r="B558" s="299"/>
      <c r="C558" s="299"/>
      <c r="D558" s="299"/>
      <c r="E558" s="299"/>
      <c r="F558" s="299"/>
      <c r="G558" s="299"/>
      <c r="H558" s="299"/>
      <c r="I558" s="299"/>
      <c r="J558" s="299"/>
    </row>
    <row r="559" spans="1:10" ht="15" x14ac:dyDescent="0.2">
      <c r="A559" s="291"/>
      <c r="B559" s="293" t="s">
        <v>6</v>
      </c>
      <c r="C559" s="291" t="s">
        <v>7</v>
      </c>
      <c r="D559" s="291" t="s">
        <v>8</v>
      </c>
      <c r="E559" s="367" t="s">
        <v>114</v>
      </c>
      <c r="F559" s="367"/>
      <c r="G559" s="292" t="s">
        <v>9</v>
      </c>
      <c r="H559" s="293" t="s">
        <v>10</v>
      </c>
      <c r="I559" s="293" t="s">
        <v>11</v>
      </c>
      <c r="J559" s="293" t="s">
        <v>12</v>
      </c>
    </row>
    <row r="560" spans="1:10" ht="25.5" x14ac:dyDescent="0.2">
      <c r="A560" s="294" t="s">
        <v>115</v>
      </c>
      <c r="B560" s="296" t="s">
        <v>300</v>
      </c>
      <c r="C560" s="294" t="s">
        <v>38</v>
      </c>
      <c r="D560" s="294" t="s">
        <v>301</v>
      </c>
      <c r="E560" s="373" t="s">
        <v>116</v>
      </c>
      <c r="F560" s="373"/>
      <c r="G560" s="295" t="s">
        <v>127</v>
      </c>
      <c r="H560" s="298">
        <v>1</v>
      </c>
      <c r="I560" s="297">
        <v>0.13</v>
      </c>
      <c r="J560" s="297">
        <v>0.13</v>
      </c>
    </row>
    <row r="561" spans="1:10" ht="15" customHeight="1" x14ac:dyDescent="0.2">
      <c r="A561" s="306" t="s">
        <v>130</v>
      </c>
      <c r="B561" s="308" t="s">
        <v>302</v>
      </c>
      <c r="C561" s="306" t="s">
        <v>38</v>
      </c>
      <c r="D561" s="306" t="s">
        <v>303</v>
      </c>
      <c r="E561" s="365" t="s">
        <v>160</v>
      </c>
      <c r="F561" s="365"/>
      <c r="G561" s="307" t="s">
        <v>127</v>
      </c>
      <c r="H561" s="311">
        <v>4.1000000000000003E-3</v>
      </c>
      <c r="I561" s="309">
        <v>32.04</v>
      </c>
      <c r="J561" s="309">
        <v>0.13</v>
      </c>
    </row>
    <row r="562" spans="1:10" x14ac:dyDescent="0.2">
      <c r="A562" s="317"/>
      <c r="B562" s="317"/>
      <c r="C562" s="317"/>
      <c r="D562" s="317"/>
      <c r="E562" s="317"/>
      <c r="F562" s="318"/>
      <c r="G562" s="317"/>
      <c r="H562" s="318"/>
      <c r="I562" s="317"/>
      <c r="J562" s="318"/>
    </row>
    <row r="563" spans="1:10" ht="15" thickBot="1" x14ac:dyDescent="0.25">
      <c r="A563" s="317"/>
      <c r="B563" s="317"/>
      <c r="C563" s="317"/>
      <c r="D563" s="317"/>
      <c r="E563" s="317" t="s">
        <v>123</v>
      </c>
      <c r="F563" s="318">
        <v>0.03</v>
      </c>
      <c r="G563" s="317"/>
      <c r="H563" s="366" t="s">
        <v>124</v>
      </c>
      <c r="I563" s="366"/>
      <c r="J563" s="318">
        <v>0.16</v>
      </c>
    </row>
    <row r="564" spans="1:10" ht="15" thickTop="1" x14ac:dyDescent="0.2">
      <c r="A564" s="299"/>
      <c r="B564" s="299"/>
      <c r="C564" s="299"/>
      <c r="D564" s="299"/>
      <c r="E564" s="299"/>
      <c r="F564" s="299"/>
      <c r="G564" s="299"/>
      <c r="H564" s="299"/>
      <c r="I564" s="299"/>
      <c r="J564" s="299"/>
    </row>
    <row r="565" spans="1:10" ht="15" x14ac:dyDescent="0.2">
      <c r="A565" s="291"/>
      <c r="B565" s="293" t="s">
        <v>6</v>
      </c>
      <c r="C565" s="291" t="s">
        <v>7</v>
      </c>
      <c r="D565" s="291" t="s">
        <v>8</v>
      </c>
      <c r="E565" s="367" t="s">
        <v>114</v>
      </c>
      <c r="F565" s="367"/>
      <c r="G565" s="292" t="s">
        <v>9</v>
      </c>
      <c r="H565" s="293" t="s">
        <v>10</v>
      </c>
      <c r="I565" s="293" t="s">
        <v>11</v>
      </c>
      <c r="J565" s="293" t="s">
        <v>12</v>
      </c>
    </row>
    <row r="566" spans="1:10" ht="25.5" x14ac:dyDescent="0.2">
      <c r="A566" s="294" t="s">
        <v>115</v>
      </c>
      <c r="B566" s="296" t="s">
        <v>304</v>
      </c>
      <c r="C566" s="294" t="s">
        <v>38</v>
      </c>
      <c r="D566" s="294" t="s">
        <v>305</v>
      </c>
      <c r="E566" s="373" t="s">
        <v>116</v>
      </c>
      <c r="F566" s="373"/>
      <c r="G566" s="295" t="s">
        <v>127</v>
      </c>
      <c r="H566" s="298">
        <v>1</v>
      </c>
      <c r="I566" s="297">
        <v>0.28999999999999998</v>
      </c>
      <c r="J566" s="297">
        <v>0.28999999999999998</v>
      </c>
    </row>
    <row r="567" spans="1:10" ht="15" customHeight="1" x14ac:dyDescent="0.2">
      <c r="A567" s="306" t="s">
        <v>130</v>
      </c>
      <c r="B567" s="308" t="s">
        <v>306</v>
      </c>
      <c r="C567" s="306" t="s">
        <v>38</v>
      </c>
      <c r="D567" s="306" t="s">
        <v>307</v>
      </c>
      <c r="E567" s="365" t="s">
        <v>160</v>
      </c>
      <c r="F567" s="365"/>
      <c r="G567" s="307" t="s">
        <v>127</v>
      </c>
      <c r="H567" s="311">
        <v>1.46E-2</v>
      </c>
      <c r="I567" s="309">
        <v>20.52</v>
      </c>
      <c r="J567" s="309">
        <v>0.28999999999999998</v>
      </c>
    </row>
    <row r="568" spans="1:10" x14ac:dyDescent="0.2">
      <c r="A568" s="317"/>
      <c r="B568" s="317"/>
      <c r="C568" s="317"/>
      <c r="D568" s="317"/>
      <c r="E568" s="317"/>
      <c r="F568" s="318"/>
      <c r="G568" s="317"/>
      <c r="H568" s="318"/>
      <c r="I568" s="317"/>
      <c r="J568" s="318"/>
    </row>
    <row r="569" spans="1:10" ht="15" thickBot="1" x14ac:dyDescent="0.25">
      <c r="A569" s="317"/>
      <c r="B569" s="317"/>
      <c r="C569" s="317"/>
      <c r="D569" s="317"/>
      <c r="E569" s="317" t="s">
        <v>123</v>
      </c>
      <c r="F569" s="318">
        <v>0.06</v>
      </c>
      <c r="G569" s="317"/>
      <c r="H569" s="366" t="s">
        <v>124</v>
      </c>
      <c r="I569" s="366"/>
      <c r="J569" s="318">
        <v>0.35</v>
      </c>
    </row>
    <row r="570" spans="1:10" ht="15" thickTop="1" x14ac:dyDescent="0.2">
      <c r="A570" s="299"/>
      <c r="B570" s="299"/>
      <c r="C570" s="299"/>
      <c r="D570" s="299"/>
      <c r="E570" s="299"/>
      <c r="F570" s="299"/>
      <c r="G570" s="299"/>
      <c r="H570" s="299"/>
      <c r="I570" s="299"/>
      <c r="J570" s="299"/>
    </row>
    <row r="571" spans="1:10" ht="15" x14ac:dyDescent="0.2">
      <c r="A571" s="291"/>
      <c r="B571" s="293" t="s">
        <v>6</v>
      </c>
      <c r="C571" s="291" t="s">
        <v>7</v>
      </c>
      <c r="D571" s="291" t="s">
        <v>8</v>
      </c>
      <c r="E571" s="367" t="s">
        <v>114</v>
      </c>
      <c r="F571" s="367"/>
      <c r="G571" s="292" t="s">
        <v>9</v>
      </c>
      <c r="H571" s="293" t="s">
        <v>10</v>
      </c>
      <c r="I571" s="293" t="s">
        <v>11</v>
      </c>
      <c r="J571" s="293" t="s">
        <v>12</v>
      </c>
    </row>
    <row r="572" spans="1:10" ht="25.5" x14ac:dyDescent="0.2">
      <c r="A572" s="294" t="s">
        <v>115</v>
      </c>
      <c r="B572" s="296" t="s">
        <v>308</v>
      </c>
      <c r="C572" s="294" t="s">
        <v>38</v>
      </c>
      <c r="D572" s="294" t="s">
        <v>309</v>
      </c>
      <c r="E572" s="373" t="s">
        <v>116</v>
      </c>
      <c r="F572" s="373"/>
      <c r="G572" s="295" t="s">
        <v>127</v>
      </c>
      <c r="H572" s="298">
        <v>1</v>
      </c>
      <c r="I572" s="297">
        <v>1.26</v>
      </c>
      <c r="J572" s="297">
        <v>1.26</v>
      </c>
    </row>
    <row r="573" spans="1:10" ht="15" customHeight="1" x14ac:dyDescent="0.2">
      <c r="A573" s="306" t="s">
        <v>130</v>
      </c>
      <c r="B573" s="308" t="s">
        <v>310</v>
      </c>
      <c r="C573" s="306" t="s">
        <v>38</v>
      </c>
      <c r="D573" s="306" t="s">
        <v>311</v>
      </c>
      <c r="E573" s="365" t="s">
        <v>160</v>
      </c>
      <c r="F573" s="365"/>
      <c r="G573" s="307" t="s">
        <v>127</v>
      </c>
      <c r="H573" s="311">
        <v>1.2E-2</v>
      </c>
      <c r="I573" s="309">
        <v>105.28</v>
      </c>
      <c r="J573" s="309">
        <v>1.26</v>
      </c>
    </row>
    <row r="574" spans="1:10" x14ac:dyDescent="0.2">
      <c r="A574" s="317"/>
      <c r="B574" s="317"/>
      <c r="C574" s="317"/>
      <c r="D574" s="317"/>
      <c r="E574" s="317"/>
      <c r="F574" s="318"/>
      <c r="G574" s="317"/>
      <c r="H574" s="318"/>
      <c r="I574" s="317"/>
      <c r="J574" s="318"/>
    </row>
    <row r="575" spans="1:10" ht="15" thickBot="1" x14ac:dyDescent="0.25">
      <c r="A575" s="317"/>
      <c r="B575" s="317"/>
      <c r="C575" s="317"/>
      <c r="D575" s="317"/>
      <c r="E575" s="317" t="s">
        <v>123</v>
      </c>
      <c r="F575" s="318">
        <v>0.28999999999999998</v>
      </c>
      <c r="G575" s="317"/>
      <c r="H575" s="366" t="s">
        <v>124</v>
      </c>
      <c r="I575" s="366"/>
      <c r="J575" s="318">
        <v>1.55</v>
      </c>
    </row>
    <row r="576" spans="1:10" ht="15" thickTop="1" x14ac:dyDescent="0.2">
      <c r="A576" s="299"/>
      <c r="B576" s="299"/>
      <c r="C576" s="299"/>
      <c r="D576" s="299"/>
      <c r="E576" s="299"/>
      <c r="F576" s="299"/>
      <c r="G576" s="299"/>
      <c r="H576" s="299"/>
      <c r="I576" s="299"/>
      <c r="J576" s="299"/>
    </row>
    <row r="577" spans="1:10" ht="15" x14ac:dyDescent="0.2">
      <c r="A577" s="291"/>
      <c r="B577" s="293" t="s">
        <v>6</v>
      </c>
      <c r="C577" s="291" t="s">
        <v>7</v>
      </c>
      <c r="D577" s="291" t="s">
        <v>8</v>
      </c>
      <c r="E577" s="367" t="s">
        <v>114</v>
      </c>
      <c r="F577" s="367"/>
      <c r="G577" s="292" t="s">
        <v>9</v>
      </c>
      <c r="H577" s="293" t="s">
        <v>10</v>
      </c>
      <c r="I577" s="293" t="s">
        <v>11</v>
      </c>
      <c r="J577" s="293" t="s">
        <v>12</v>
      </c>
    </row>
    <row r="578" spans="1:10" ht="25.5" x14ac:dyDescent="0.2">
      <c r="A578" s="294" t="s">
        <v>115</v>
      </c>
      <c r="B578" s="296" t="s">
        <v>312</v>
      </c>
      <c r="C578" s="294" t="s">
        <v>38</v>
      </c>
      <c r="D578" s="294" t="s">
        <v>313</v>
      </c>
      <c r="E578" s="373" t="s">
        <v>116</v>
      </c>
      <c r="F578" s="373"/>
      <c r="G578" s="295" t="s">
        <v>127</v>
      </c>
      <c r="H578" s="298">
        <v>1</v>
      </c>
      <c r="I578" s="297">
        <v>1.96</v>
      </c>
      <c r="J578" s="297">
        <v>1.96</v>
      </c>
    </row>
    <row r="579" spans="1:10" ht="15" customHeight="1" x14ac:dyDescent="0.2">
      <c r="A579" s="306" t="s">
        <v>130</v>
      </c>
      <c r="B579" s="308" t="s">
        <v>314</v>
      </c>
      <c r="C579" s="306" t="s">
        <v>38</v>
      </c>
      <c r="D579" s="306" t="s">
        <v>315</v>
      </c>
      <c r="E579" s="365" t="s">
        <v>160</v>
      </c>
      <c r="F579" s="365"/>
      <c r="G579" s="307" t="s">
        <v>127</v>
      </c>
      <c r="H579" s="311">
        <v>1.2E-2</v>
      </c>
      <c r="I579" s="309">
        <v>163.79</v>
      </c>
      <c r="J579" s="309">
        <v>1.96</v>
      </c>
    </row>
    <row r="580" spans="1:10" x14ac:dyDescent="0.2">
      <c r="A580" s="317"/>
      <c r="B580" s="317"/>
      <c r="C580" s="317"/>
      <c r="D580" s="317"/>
      <c r="E580" s="317"/>
      <c r="F580" s="318"/>
      <c r="G580" s="317"/>
      <c r="H580" s="318"/>
      <c r="I580" s="317"/>
      <c r="J580" s="318"/>
    </row>
    <row r="581" spans="1:10" ht="15" thickBot="1" x14ac:dyDescent="0.25">
      <c r="A581" s="317"/>
      <c r="B581" s="317"/>
      <c r="C581" s="317"/>
      <c r="D581" s="317"/>
      <c r="E581" s="317" t="s">
        <v>123</v>
      </c>
      <c r="F581" s="318">
        <v>0.46</v>
      </c>
      <c r="G581" s="317"/>
      <c r="H581" s="366" t="s">
        <v>124</v>
      </c>
      <c r="I581" s="366"/>
      <c r="J581" s="318">
        <v>2.42</v>
      </c>
    </row>
    <row r="582" spans="1:10" ht="15" thickTop="1" x14ac:dyDescent="0.2">
      <c r="A582" s="299"/>
      <c r="B582" s="299"/>
      <c r="C582" s="299"/>
      <c r="D582" s="299"/>
      <c r="E582" s="299"/>
      <c r="F582" s="299"/>
      <c r="G582" s="299"/>
      <c r="H582" s="299"/>
      <c r="I582" s="299"/>
      <c r="J582" s="299"/>
    </row>
    <row r="583" spans="1:10" ht="15" x14ac:dyDescent="0.2">
      <c r="A583" s="291"/>
      <c r="B583" s="293" t="s">
        <v>6</v>
      </c>
      <c r="C583" s="291" t="s">
        <v>7</v>
      </c>
      <c r="D583" s="291" t="s">
        <v>8</v>
      </c>
      <c r="E583" s="367" t="s">
        <v>114</v>
      </c>
      <c r="F583" s="367"/>
      <c r="G583" s="292" t="s">
        <v>9</v>
      </c>
      <c r="H583" s="293" t="s">
        <v>10</v>
      </c>
      <c r="I583" s="293" t="s">
        <v>11</v>
      </c>
      <c r="J583" s="293" t="s">
        <v>12</v>
      </c>
    </row>
    <row r="584" spans="1:10" ht="25.5" x14ac:dyDescent="0.2">
      <c r="A584" s="294" t="s">
        <v>115</v>
      </c>
      <c r="B584" s="296" t="s">
        <v>316</v>
      </c>
      <c r="C584" s="294" t="s">
        <v>38</v>
      </c>
      <c r="D584" s="294" t="s">
        <v>317</v>
      </c>
      <c r="E584" s="373" t="s">
        <v>116</v>
      </c>
      <c r="F584" s="373"/>
      <c r="G584" s="295" t="s">
        <v>127</v>
      </c>
      <c r="H584" s="298">
        <v>1</v>
      </c>
      <c r="I584" s="297">
        <v>0.05</v>
      </c>
      <c r="J584" s="297">
        <v>0.05</v>
      </c>
    </row>
    <row r="585" spans="1:10" ht="15" customHeight="1" x14ac:dyDescent="0.2">
      <c r="A585" s="306" t="s">
        <v>130</v>
      </c>
      <c r="B585" s="308" t="s">
        <v>318</v>
      </c>
      <c r="C585" s="306" t="s">
        <v>38</v>
      </c>
      <c r="D585" s="306" t="s">
        <v>319</v>
      </c>
      <c r="E585" s="365" t="s">
        <v>160</v>
      </c>
      <c r="F585" s="365"/>
      <c r="G585" s="307" t="s">
        <v>127</v>
      </c>
      <c r="H585" s="311">
        <v>4.1000000000000003E-3</v>
      </c>
      <c r="I585" s="309">
        <v>13.53</v>
      </c>
      <c r="J585" s="309">
        <v>0.05</v>
      </c>
    </row>
    <row r="586" spans="1:10" x14ac:dyDescent="0.2">
      <c r="A586" s="317"/>
      <c r="B586" s="317"/>
      <c r="C586" s="317"/>
      <c r="D586" s="317"/>
      <c r="E586" s="317"/>
      <c r="F586" s="318"/>
      <c r="G586" s="317"/>
      <c r="H586" s="318"/>
      <c r="I586" s="317"/>
      <c r="J586" s="318"/>
    </row>
    <row r="587" spans="1:10" ht="15" thickBot="1" x14ac:dyDescent="0.25">
      <c r="A587" s="317"/>
      <c r="B587" s="317"/>
      <c r="C587" s="317"/>
      <c r="D587" s="317"/>
      <c r="E587" s="317" t="s">
        <v>123</v>
      </c>
      <c r="F587" s="318">
        <v>0.01</v>
      </c>
      <c r="G587" s="317"/>
      <c r="H587" s="366" t="s">
        <v>124</v>
      </c>
      <c r="I587" s="366"/>
      <c r="J587" s="318">
        <v>0.06</v>
      </c>
    </row>
    <row r="588" spans="1:10" ht="15" thickTop="1" x14ac:dyDescent="0.2">
      <c r="A588" s="299"/>
      <c r="B588" s="299"/>
      <c r="C588" s="299"/>
      <c r="D588" s="299"/>
      <c r="E588" s="299"/>
      <c r="F588" s="299"/>
      <c r="G588" s="299"/>
      <c r="H588" s="299"/>
      <c r="I588" s="299"/>
      <c r="J588" s="299"/>
    </row>
    <row r="589" spans="1:10" ht="15" x14ac:dyDescent="0.2">
      <c r="A589" s="291"/>
      <c r="B589" s="293" t="s">
        <v>6</v>
      </c>
      <c r="C589" s="291" t="s">
        <v>7</v>
      </c>
      <c r="D589" s="291" t="s">
        <v>8</v>
      </c>
      <c r="E589" s="367" t="s">
        <v>114</v>
      </c>
      <c r="F589" s="367"/>
      <c r="G589" s="292" t="s">
        <v>9</v>
      </c>
      <c r="H589" s="293" t="s">
        <v>10</v>
      </c>
      <c r="I589" s="293" t="s">
        <v>11</v>
      </c>
      <c r="J589" s="293" t="s">
        <v>12</v>
      </c>
    </row>
    <row r="590" spans="1:10" ht="25.5" x14ac:dyDescent="0.2">
      <c r="A590" s="294" t="s">
        <v>115</v>
      </c>
      <c r="B590" s="296" t="s">
        <v>320</v>
      </c>
      <c r="C590" s="294" t="s">
        <v>38</v>
      </c>
      <c r="D590" s="294" t="s">
        <v>321</v>
      </c>
      <c r="E590" s="373" t="s">
        <v>116</v>
      </c>
      <c r="F590" s="373"/>
      <c r="G590" s="295" t="s">
        <v>127</v>
      </c>
      <c r="H590" s="298">
        <v>1</v>
      </c>
      <c r="I590" s="297">
        <v>0.75</v>
      </c>
      <c r="J590" s="297">
        <v>0.75</v>
      </c>
    </row>
    <row r="591" spans="1:10" ht="15" customHeight="1" x14ac:dyDescent="0.2">
      <c r="A591" s="306" t="s">
        <v>130</v>
      </c>
      <c r="B591" s="308" t="s">
        <v>322</v>
      </c>
      <c r="C591" s="306" t="s">
        <v>38</v>
      </c>
      <c r="D591" s="306" t="s">
        <v>323</v>
      </c>
      <c r="E591" s="365" t="s">
        <v>160</v>
      </c>
      <c r="F591" s="365"/>
      <c r="G591" s="307" t="s">
        <v>127</v>
      </c>
      <c r="H591" s="311">
        <v>1.72E-2</v>
      </c>
      <c r="I591" s="309">
        <v>43.94</v>
      </c>
      <c r="J591" s="309">
        <v>0.75</v>
      </c>
    </row>
    <row r="592" spans="1:10" x14ac:dyDescent="0.2">
      <c r="A592" s="317"/>
      <c r="B592" s="317"/>
      <c r="C592" s="317"/>
      <c r="D592" s="317"/>
      <c r="E592" s="317"/>
      <c r="F592" s="318"/>
      <c r="G592" s="317"/>
      <c r="H592" s="318"/>
      <c r="I592" s="317"/>
      <c r="J592" s="318"/>
    </row>
    <row r="593" spans="1:10" ht="15" thickBot="1" x14ac:dyDescent="0.25">
      <c r="A593" s="317"/>
      <c r="B593" s="317"/>
      <c r="C593" s="317"/>
      <c r="D593" s="317"/>
      <c r="E593" s="317" t="s">
        <v>123</v>
      </c>
      <c r="F593" s="318">
        <v>0.17</v>
      </c>
      <c r="G593" s="317"/>
      <c r="H593" s="366" t="s">
        <v>124</v>
      </c>
      <c r="I593" s="366"/>
      <c r="J593" s="318">
        <v>0.92</v>
      </c>
    </row>
    <row r="594" spans="1:10" ht="15" thickTop="1" x14ac:dyDescent="0.2">
      <c r="A594" s="299"/>
      <c r="B594" s="299"/>
      <c r="C594" s="299"/>
      <c r="D594" s="299"/>
      <c r="E594" s="299"/>
      <c r="F594" s="299"/>
      <c r="G594" s="299"/>
      <c r="H594" s="299"/>
      <c r="I594" s="299"/>
      <c r="J594" s="299"/>
    </row>
    <row r="595" spans="1:10" ht="15" x14ac:dyDescent="0.2">
      <c r="A595" s="291"/>
      <c r="B595" s="293" t="s">
        <v>6</v>
      </c>
      <c r="C595" s="291" t="s">
        <v>7</v>
      </c>
      <c r="D595" s="291" t="s">
        <v>8</v>
      </c>
      <c r="E595" s="367" t="s">
        <v>114</v>
      </c>
      <c r="F595" s="367"/>
      <c r="G595" s="292" t="s">
        <v>9</v>
      </c>
      <c r="H595" s="293" t="s">
        <v>10</v>
      </c>
      <c r="I595" s="293" t="s">
        <v>11</v>
      </c>
      <c r="J595" s="293" t="s">
        <v>12</v>
      </c>
    </row>
    <row r="596" spans="1:10" ht="25.5" x14ac:dyDescent="0.2">
      <c r="A596" s="294" t="s">
        <v>115</v>
      </c>
      <c r="B596" s="296" t="s">
        <v>324</v>
      </c>
      <c r="C596" s="294" t="s">
        <v>38</v>
      </c>
      <c r="D596" s="294" t="s">
        <v>325</v>
      </c>
      <c r="E596" s="373" t="s">
        <v>116</v>
      </c>
      <c r="F596" s="373"/>
      <c r="G596" s="295" t="s">
        <v>127</v>
      </c>
      <c r="H596" s="298">
        <v>1</v>
      </c>
      <c r="I596" s="297">
        <v>0.13</v>
      </c>
      <c r="J596" s="297">
        <v>0.13</v>
      </c>
    </row>
    <row r="597" spans="1:10" ht="15" customHeight="1" x14ac:dyDescent="0.2">
      <c r="A597" s="306" t="s">
        <v>130</v>
      </c>
      <c r="B597" s="308" t="s">
        <v>326</v>
      </c>
      <c r="C597" s="306" t="s">
        <v>38</v>
      </c>
      <c r="D597" s="306" t="s">
        <v>327</v>
      </c>
      <c r="E597" s="365" t="s">
        <v>160</v>
      </c>
      <c r="F597" s="365"/>
      <c r="G597" s="307" t="s">
        <v>127</v>
      </c>
      <c r="H597" s="311">
        <v>4.1000000000000003E-3</v>
      </c>
      <c r="I597" s="309">
        <v>33.11</v>
      </c>
      <c r="J597" s="309">
        <v>0.13</v>
      </c>
    </row>
    <row r="598" spans="1:10" x14ac:dyDescent="0.2">
      <c r="A598" s="317"/>
      <c r="B598" s="317"/>
      <c r="C598" s="317"/>
      <c r="D598" s="317"/>
      <c r="E598" s="317"/>
      <c r="F598" s="318"/>
      <c r="G598" s="317"/>
      <c r="H598" s="318"/>
      <c r="I598" s="317"/>
      <c r="J598" s="318"/>
    </row>
    <row r="599" spans="1:10" ht="15" thickBot="1" x14ac:dyDescent="0.25">
      <c r="A599" s="317"/>
      <c r="B599" s="317"/>
      <c r="C599" s="317"/>
      <c r="D599" s="317"/>
      <c r="E599" s="317" t="s">
        <v>123</v>
      </c>
      <c r="F599" s="318">
        <v>0.03</v>
      </c>
      <c r="G599" s="317"/>
      <c r="H599" s="366" t="s">
        <v>124</v>
      </c>
      <c r="I599" s="366"/>
      <c r="J599" s="318">
        <v>0.16</v>
      </c>
    </row>
    <row r="600" spans="1:10" ht="15" thickTop="1" x14ac:dyDescent="0.2">
      <c r="A600" s="299"/>
      <c r="B600" s="299"/>
      <c r="C600" s="299"/>
      <c r="D600" s="299"/>
      <c r="E600" s="299"/>
      <c r="F600" s="299"/>
      <c r="G600" s="299"/>
      <c r="H600" s="299"/>
      <c r="I600" s="299"/>
      <c r="J600" s="299"/>
    </row>
    <row r="601" spans="1:10" ht="15" x14ac:dyDescent="0.2">
      <c r="A601" s="291"/>
      <c r="B601" s="293" t="s">
        <v>6</v>
      </c>
      <c r="C601" s="291" t="s">
        <v>7</v>
      </c>
      <c r="D601" s="291" t="s">
        <v>8</v>
      </c>
      <c r="E601" s="367" t="s">
        <v>114</v>
      </c>
      <c r="F601" s="367"/>
      <c r="G601" s="292" t="s">
        <v>9</v>
      </c>
      <c r="H601" s="293" t="s">
        <v>10</v>
      </c>
      <c r="I601" s="293" t="s">
        <v>11</v>
      </c>
      <c r="J601" s="293" t="s">
        <v>12</v>
      </c>
    </row>
    <row r="602" spans="1:10" ht="38.25" x14ac:dyDescent="0.2">
      <c r="A602" s="294" t="s">
        <v>115</v>
      </c>
      <c r="B602" s="296" t="s">
        <v>328</v>
      </c>
      <c r="C602" s="294" t="s">
        <v>38</v>
      </c>
      <c r="D602" s="294" t="s">
        <v>329</v>
      </c>
      <c r="E602" s="373" t="s">
        <v>116</v>
      </c>
      <c r="F602" s="373"/>
      <c r="G602" s="295" t="s">
        <v>127</v>
      </c>
      <c r="H602" s="298">
        <v>1</v>
      </c>
      <c r="I602" s="297">
        <v>0.14000000000000001</v>
      </c>
      <c r="J602" s="297">
        <v>0.14000000000000001</v>
      </c>
    </row>
    <row r="603" spans="1:10" ht="15" customHeight="1" x14ac:dyDescent="0.2">
      <c r="A603" s="306" t="s">
        <v>130</v>
      </c>
      <c r="B603" s="308" t="s">
        <v>330</v>
      </c>
      <c r="C603" s="306" t="s">
        <v>38</v>
      </c>
      <c r="D603" s="306" t="s">
        <v>331</v>
      </c>
      <c r="E603" s="365" t="s">
        <v>160</v>
      </c>
      <c r="F603" s="365"/>
      <c r="G603" s="307" t="s">
        <v>127</v>
      </c>
      <c r="H603" s="311">
        <v>6.7000000000000002E-3</v>
      </c>
      <c r="I603" s="309">
        <v>21.57</v>
      </c>
      <c r="J603" s="309">
        <v>0.14000000000000001</v>
      </c>
    </row>
    <row r="604" spans="1:10" x14ac:dyDescent="0.2">
      <c r="A604" s="317"/>
      <c r="B604" s="317"/>
      <c r="C604" s="317"/>
      <c r="D604" s="317"/>
      <c r="E604" s="317"/>
      <c r="F604" s="318"/>
      <c r="G604" s="317"/>
      <c r="H604" s="318"/>
      <c r="I604" s="317"/>
      <c r="J604" s="318"/>
    </row>
    <row r="605" spans="1:10" ht="15" thickBot="1" x14ac:dyDescent="0.25">
      <c r="A605" s="317"/>
      <c r="B605" s="317"/>
      <c r="C605" s="317"/>
      <c r="D605" s="317"/>
      <c r="E605" s="317" t="s">
        <v>123</v>
      </c>
      <c r="F605" s="318">
        <v>0.03</v>
      </c>
      <c r="G605" s="317"/>
      <c r="H605" s="366" t="s">
        <v>124</v>
      </c>
      <c r="I605" s="366"/>
      <c r="J605" s="318">
        <v>0.17</v>
      </c>
    </row>
    <row r="606" spans="1:10" ht="15" thickTop="1" x14ac:dyDescent="0.2">
      <c r="A606" s="299"/>
      <c r="B606" s="299"/>
      <c r="C606" s="299"/>
      <c r="D606" s="299"/>
      <c r="E606" s="299"/>
      <c r="F606" s="299"/>
      <c r="G606" s="299"/>
      <c r="H606" s="299"/>
      <c r="I606" s="299"/>
      <c r="J606" s="299"/>
    </row>
    <row r="607" spans="1:10" ht="15" x14ac:dyDescent="0.2">
      <c r="A607" s="291"/>
      <c r="B607" s="293" t="s">
        <v>6</v>
      </c>
      <c r="C607" s="291" t="s">
        <v>7</v>
      </c>
      <c r="D607" s="291" t="s">
        <v>8</v>
      </c>
      <c r="E607" s="367" t="s">
        <v>114</v>
      </c>
      <c r="F607" s="367"/>
      <c r="G607" s="292" t="s">
        <v>9</v>
      </c>
      <c r="H607" s="293" t="s">
        <v>10</v>
      </c>
      <c r="I607" s="293" t="s">
        <v>11</v>
      </c>
      <c r="J607" s="293" t="s">
        <v>12</v>
      </c>
    </row>
    <row r="608" spans="1:10" ht="25.5" x14ac:dyDescent="0.2">
      <c r="A608" s="294" t="s">
        <v>115</v>
      </c>
      <c r="B608" s="296" t="s">
        <v>332</v>
      </c>
      <c r="C608" s="294" t="s">
        <v>38</v>
      </c>
      <c r="D608" s="294" t="s">
        <v>333</v>
      </c>
      <c r="E608" s="373" t="s">
        <v>116</v>
      </c>
      <c r="F608" s="373"/>
      <c r="G608" s="295" t="s">
        <v>127</v>
      </c>
      <c r="H608" s="298">
        <v>1</v>
      </c>
      <c r="I608" s="297">
        <v>0.2</v>
      </c>
      <c r="J608" s="297">
        <v>0.2</v>
      </c>
    </row>
    <row r="609" spans="1:10" ht="15" customHeight="1" x14ac:dyDescent="0.2">
      <c r="A609" s="306" t="s">
        <v>130</v>
      </c>
      <c r="B609" s="308" t="s">
        <v>247</v>
      </c>
      <c r="C609" s="306" t="s">
        <v>38</v>
      </c>
      <c r="D609" s="306" t="s">
        <v>248</v>
      </c>
      <c r="E609" s="365" t="s">
        <v>160</v>
      </c>
      <c r="F609" s="365"/>
      <c r="G609" s="307" t="s">
        <v>127</v>
      </c>
      <c r="H609" s="311">
        <v>1.72E-2</v>
      </c>
      <c r="I609" s="309">
        <v>12.11</v>
      </c>
      <c r="J609" s="309">
        <v>0.2</v>
      </c>
    </row>
    <row r="610" spans="1:10" x14ac:dyDescent="0.2">
      <c r="A610" s="317"/>
      <c r="B610" s="317"/>
      <c r="C610" s="317"/>
      <c r="D610" s="317"/>
      <c r="E610" s="317"/>
      <c r="F610" s="318"/>
      <c r="G610" s="317"/>
      <c r="H610" s="318"/>
      <c r="I610" s="317"/>
      <c r="J610" s="318"/>
    </row>
    <row r="611" spans="1:10" ht="15" thickBot="1" x14ac:dyDescent="0.25">
      <c r="A611" s="317"/>
      <c r="B611" s="317"/>
      <c r="C611" s="317"/>
      <c r="D611" s="317"/>
      <c r="E611" s="317" t="s">
        <v>123</v>
      </c>
      <c r="F611" s="318">
        <v>0.04</v>
      </c>
      <c r="G611" s="317"/>
      <c r="H611" s="366" t="s">
        <v>124</v>
      </c>
      <c r="I611" s="366"/>
      <c r="J611" s="318">
        <v>0.24</v>
      </c>
    </row>
    <row r="612" spans="1:10" ht="15" thickTop="1" x14ac:dyDescent="0.2">
      <c r="A612" s="299"/>
      <c r="B612" s="299"/>
      <c r="C612" s="299"/>
      <c r="D612" s="299"/>
      <c r="E612" s="299"/>
      <c r="F612" s="299"/>
      <c r="G612" s="299"/>
      <c r="H612" s="299"/>
      <c r="I612" s="299"/>
      <c r="J612" s="299"/>
    </row>
    <row r="613" spans="1:10" ht="15" x14ac:dyDescent="0.2">
      <c r="A613" s="291"/>
      <c r="B613" s="293" t="s">
        <v>6</v>
      </c>
      <c r="C613" s="291" t="s">
        <v>7</v>
      </c>
      <c r="D613" s="291" t="s">
        <v>8</v>
      </c>
      <c r="E613" s="367" t="s">
        <v>114</v>
      </c>
      <c r="F613" s="367"/>
      <c r="G613" s="292" t="s">
        <v>9</v>
      </c>
      <c r="H613" s="293" t="s">
        <v>10</v>
      </c>
      <c r="I613" s="293" t="s">
        <v>11</v>
      </c>
      <c r="J613" s="293" t="s">
        <v>12</v>
      </c>
    </row>
    <row r="614" spans="1:10" ht="25.5" x14ac:dyDescent="0.2">
      <c r="A614" s="294" t="s">
        <v>115</v>
      </c>
      <c r="B614" s="296" t="s">
        <v>334</v>
      </c>
      <c r="C614" s="294" t="s">
        <v>38</v>
      </c>
      <c r="D614" s="294" t="s">
        <v>335</v>
      </c>
      <c r="E614" s="373" t="s">
        <v>116</v>
      </c>
      <c r="F614" s="373"/>
      <c r="G614" s="295" t="s">
        <v>127</v>
      </c>
      <c r="H614" s="298">
        <v>1</v>
      </c>
      <c r="I614" s="297">
        <v>0.38</v>
      </c>
      <c r="J614" s="297">
        <v>0.38</v>
      </c>
    </row>
    <row r="615" spans="1:10" ht="15" customHeight="1" x14ac:dyDescent="0.2">
      <c r="A615" s="306" t="s">
        <v>130</v>
      </c>
      <c r="B615" s="308" t="s">
        <v>336</v>
      </c>
      <c r="C615" s="306" t="s">
        <v>38</v>
      </c>
      <c r="D615" s="306" t="s">
        <v>337</v>
      </c>
      <c r="E615" s="365" t="s">
        <v>160</v>
      </c>
      <c r="F615" s="365"/>
      <c r="G615" s="307" t="s">
        <v>127</v>
      </c>
      <c r="H615" s="311">
        <v>1.46E-2</v>
      </c>
      <c r="I615" s="309">
        <v>26.7</v>
      </c>
      <c r="J615" s="309">
        <v>0.38</v>
      </c>
    </row>
    <row r="616" spans="1:10" x14ac:dyDescent="0.2">
      <c r="A616" s="317"/>
      <c r="B616" s="317"/>
      <c r="C616" s="317"/>
      <c r="D616" s="317"/>
      <c r="E616" s="317"/>
      <c r="F616" s="318"/>
      <c r="G616" s="317"/>
      <c r="H616" s="318"/>
      <c r="I616" s="317"/>
      <c r="J616" s="318"/>
    </row>
    <row r="617" spans="1:10" ht="15" thickBot="1" x14ac:dyDescent="0.25">
      <c r="A617" s="317"/>
      <c r="B617" s="317"/>
      <c r="C617" s="317"/>
      <c r="D617" s="317"/>
      <c r="E617" s="317" t="s">
        <v>123</v>
      </c>
      <c r="F617" s="318">
        <v>0.09</v>
      </c>
      <c r="G617" s="317"/>
      <c r="H617" s="366" t="s">
        <v>124</v>
      </c>
      <c r="I617" s="366"/>
      <c r="J617" s="318">
        <v>0.47</v>
      </c>
    </row>
    <row r="618" spans="1:10" ht="15" thickTop="1" x14ac:dyDescent="0.2">
      <c r="A618" s="299"/>
      <c r="B618" s="299"/>
      <c r="C618" s="299"/>
      <c r="D618" s="299"/>
      <c r="E618" s="299"/>
      <c r="F618" s="299"/>
      <c r="G618" s="299"/>
      <c r="H618" s="299"/>
      <c r="I618" s="299"/>
      <c r="J618" s="299"/>
    </row>
    <row r="619" spans="1:10" ht="15" x14ac:dyDescent="0.2">
      <c r="A619" s="291"/>
      <c r="B619" s="293" t="s">
        <v>6</v>
      </c>
      <c r="C619" s="291" t="s">
        <v>7</v>
      </c>
      <c r="D619" s="291" t="s">
        <v>8</v>
      </c>
      <c r="E619" s="367" t="s">
        <v>114</v>
      </c>
      <c r="F619" s="367"/>
      <c r="G619" s="292" t="s">
        <v>9</v>
      </c>
      <c r="H619" s="293" t="s">
        <v>10</v>
      </c>
      <c r="I619" s="293" t="s">
        <v>11</v>
      </c>
      <c r="J619" s="293" t="s">
        <v>12</v>
      </c>
    </row>
    <row r="620" spans="1:10" ht="25.5" x14ac:dyDescent="0.2">
      <c r="A620" s="294" t="s">
        <v>115</v>
      </c>
      <c r="B620" s="296" t="s">
        <v>338</v>
      </c>
      <c r="C620" s="294" t="s">
        <v>38</v>
      </c>
      <c r="D620" s="294" t="s">
        <v>339</v>
      </c>
      <c r="E620" s="373" t="s">
        <v>116</v>
      </c>
      <c r="F620" s="373"/>
      <c r="G620" s="295" t="s">
        <v>127</v>
      </c>
      <c r="H620" s="298">
        <v>1</v>
      </c>
      <c r="I620" s="297">
        <v>0.25</v>
      </c>
      <c r="J620" s="297">
        <v>0.25</v>
      </c>
    </row>
    <row r="621" spans="1:10" ht="26.25" customHeight="1" x14ac:dyDescent="0.2">
      <c r="A621" s="306" t="s">
        <v>130</v>
      </c>
      <c r="B621" s="308" t="s">
        <v>340</v>
      </c>
      <c r="C621" s="306" t="s">
        <v>38</v>
      </c>
      <c r="D621" s="306" t="s">
        <v>341</v>
      </c>
      <c r="E621" s="365" t="s">
        <v>160</v>
      </c>
      <c r="F621" s="365"/>
      <c r="G621" s="307" t="s">
        <v>127</v>
      </c>
      <c r="H621" s="311">
        <v>6.7000000000000002E-3</v>
      </c>
      <c r="I621" s="309">
        <v>37.96</v>
      </c>
      <c r="J621" s="309">
        <v>0.25</v>
      </c>
    </row>
    <row r="622" spans="1:10" x14ac:dyDescent="0.2">
      <c r="A622" s="317"/>
      <c r="B622" s="317"/>
      <c r="C622" s="317"/>
      <c r="D622" s="317"/>
      <c r="E622" s="317"/>
      <c r="F622" s="318"/>
      <c r="G622" s="317"/>
      <c r="H622" s="318"/>
      <c r="I622" s="317"/>
      <c r="J622" s="318"/>
    </row>
    <row r="623" spans="1:10" ht="15" thickBot="1" x14ac:dyDescent="0.25">
      <c r="A623" s="317"/>
      <c r="B623" s="317"/>
      <c r="C623" s="317"/>
      <c r="D623" s="317"/>
      <c r="E623" s="317" t="s">
        <v>123</v>
      </c>
      <c r="F623" s="318">
        <v>0.05</v>
      </c>
      <c r="G623" s="317"/>
      <c r="H623" s="366" t="s">
        <v>124</v>
      </c>
      <c r="I623" s="366"/>
      <c r="J623" s="318">
        <v>0.3</v>
      </c>
    </row>
    <row r="624" spans="1:10" ht="15" thickTop="1" x14ac:dyDescent="0.2">
      <c r="A624" s="299"/>
      <c r="B624" s="299"/>
      <c r="C624" s="299"/>
      <c r="D624" s="299"/>
      <c r="E624" s="299"/>
      <c r="F624" s="299"/>
      <c r="G624" s="299"/>
      <c r="H624" s="299"/>
      <c r="I624" s="299"/>
      <c r="J624" s="299"/>
    </row>
    <row r="625" spans="1:10" ht="15" x14ac:dyDescent="0.2">
      <c r="A625" s="291"/>
      <c r="B625" s="293" t="s">
        <v>6</v>
      </c>
      <c r="C625" s="291" t="s">
        <v>7</v>
      </c>
      <c r="D625" s="291" t="s">
        <v>8</v>
      </c>
      <c r="E625" s="367" t="s">
        <v>114</v>
      </c>
      <c r="F625" s="367"/>
      <c r="G625" s="292" t="s">
        <v>9</v>
      </c>
      <c r="H625" s="293" t="s">
        <v>10</v>
      </c>
      <c r="I625" s="293" t="s">
        <v>11</v>
      </c>
      <c r="J625" s="293" t="s">
        <v>12</v>
      </c>
    </row>
    <row r="626" spans="1:10" ht="25.5" x14ac:dyDescent="0.2">
      <c r="A626" s="294" t="s">
        <v>115</v>
      </c>
      <c r="B626" s="296" t="s">
        <v>780</v>
      </c>
      <c r="C626" s="294" t="s">
        <v>119</v>
      </c>
      <c r="D626" s="294" t="s">
        <v>781</v>
      </c>
      <c r="E626" s="373" t="s">
        <v>121</v>
      </c>
      <c r="F626" s="373"/>
      <c r="G626" s="295" t="s">
        <v>98</v>
      </c>
      <c r="H626" s="298">
        <v>1</v>
      </c>
      <c r="I626" s="297">
        <v>18.43</v>
      </c>
      <c r="J626" s="297">
        <v>18.43</v>
      </c>
    </row>
    <row r="627" spans="1:10" ht="15" customHeight="1" x14ac:dyDescent="0.2">
      <c r="A627" s="367" t="s">
        <v>428</v>
      </c>
      <c r="B627" s="363" t="s">
        <v>6</v>
      </c>
      <c r="C627" s="367" t="s">
        <v>7</v>
      </c>
      <c r="D627" s="367" t="s">
        <v>429</v>
      </c>
      <c r="E627" s="363" t="s">
        <v>430</v>
      </c>
      <c r="F627" s="375" t="s">
        <v>431</v>
      </c>
      <c r="G627" s="363"/>
      <c r="H627" s="375" t="s">
        <v>432</v>
      </c>
      <c r="I627" s="363"/>
      <c r="J627" s="363" t="s">
        <v>433</v>
      </c>
    </row>
    <row r="628" spans="1:10" ht="15" x14ac:dyDescent="0.2">
      <c r="A628" s="363"/>
      <c r="B628" s="363"/>
      <c r="C628" s="363"/>
      <c r="D628" s="363"/>
      <c r="E628" s="363"/>
      <c r="F628" s="293" t="s">
        <v>434</v>
      </c>
      <c r="G628" s="293" t="s">
        <v>435</v>
      </c>
      <c r="H628" s="293" t="s">
        <v>434</v>
      </c>
      <c r="I628" s="293" t="s">
        <v>435</v>
      </c>
      <c r="J628" s="363"/>
    </row>
    <row r="629" spans="1:10" x14ac:dyDescent="0.2">
      <c r="A629" s="306" t="s">
        <v>130</v>
      </c>
      <c r="B629" s="308" t="s">
        <v>782</v>
      </c>
      <c r="C629" s="306" t="s">
        <v>119</v>
      </c>
      <c r="D629" s="306" t="s">
        <v>783</v>
      </c>
      <c r="E629" s="311">
        <v>1</v>
      </c>
      <c r="F629" s="309">
        <v>1</v>
      </c>
      <c r="G629" s="309">
        <v>0</v>
      </c>
      <c r="H629" s="310">
        <v>478.6148</v>
      </c>
      <c r="I629" s="310">
        <v>105.9905</v>
      </c>
      <c r="J629" s="310">
        <v>478.6148</v>
      </c>
    </row>
    <row r="630" spans="1:10" x14ac:dyDescent="0.2">
      <c r="A630" s="364"/>
      <c r="B630" s="364"/>
      <c r="C630" s="364"/>
      <c r="D630" s="364"/>
      <c r="E630" s="364"/>
      <c r="F630" s="364"/>
      <c r="G630" s="364" t="s">
        <v>438</v>
      </c>
      <c r="H630" s="364"/>
      <c r="I630" s="364"/>
      <c r="J630" s="314">
        <v>478.6148</v>
      </c>
    </row>
    <row r="631" spans="1:10" x14ac:dyDescent="0.2">
      <c r="A631" s="364"/>
      <c r="B631" s="364"/>
      <c r="C631" s="364"/>
      <c r="D631" s="364"/>
      <c r="E631" s="364"/>
      <c r="F631" s="364"/>
      <c r="G631" s="364" t="s">
        <v>439</v>
      </c>
      <c r="H631" s="364"/>
      <c r="I631" s="364"/>
      <c r="J631" s="314">
        <v>478.6148</v>
      </c>
    </row>
    <row r="632" spans="1:10" x14ac:dyDescent="0.2">
      <c r="A632" s="364"/>
      <c r="B632" s="364"/>
      <c r="C632" s="364"/>
      <c r="D632" s="364"/>
      <c r="E632" s="364"/>
      <c r="F632" s="364"/>
      <c r="G632" s="364" t="s">
        <v>440</v>
      </c>
      <c r="H632" s="364"/>
      <c r="I632" s="364"/>
      <c r="J632" s="314">
        <v>0</v>
      </c>
    </row>
    <row r="633" spans="1:10" x14ac:dyDescent="0.2">
      <c r="A633" s="364"/>
      <c r="B633" s="364"/>
      <c r="C633" s="364"/>
      <c r="D633" s="364"/>
      <c r="E633" s="364"/>
      <c r="F633" s="364"/>
      <c r="G633" s="364" t="s">
        <v>441</v>
      </c>
      <c r="H633" s="364"/>
      <c r="I633" s="364"/>
      <c r="J633" s="314">
        <v>0</v>
      </c>
    </row>
    <row r="634" spans="1:10" x14ac:dyDescent="0.2">
      <c r="A634" s="364"/>
      <c r="B634" s="364"/>
      <c r="C634" s="364"/>
      <c r="D634" s="364"/>
      <c r="E634" s="364"/>
      <c r="F634" s="364"/>
      <c r="G634" s="364" t="s">
        <v>442</v>
      </c>
      <c r="H634" s="364"/>
      <c r="I634" s="364"/>
      <c r="J634" s="314">
        <v>25.97</v>
      </c>
    </row>
    <row r="635" spans="1:10" x14ac:dyDescent="0.2">
      <c r="A635" s="364"/>
      <c r="B635" s="364"/>
      <c r="C635" s="364"/>
      <c r="D635" s="364"/>
      <c r="E635" s="364"/>
      <c r="F635" s="364"/>
      <c r="G635" s="364" t="s">
        <v>443</v>
      </c>
      <c r="H635" s="364"/>
      <c r="I635" s="364"/>
      <c r="J635" s="314">
        <v>18.429500000000001</v>
      </c>
    </row>
    <row r="636" spans="1:10" x14ac:dyDescent="0.2">
      <c r="A636" s="317"/>
      <c r="B636" s="317"/>
      <c r="C636" s="317"/>
      <c r="D636" s="317"/>
      <c r="E636" s="317"/>
      <c r="F636" s="318"/>
      <c r="G636" s="317"/>
      <c r="H636" s="318"/>
      <c r="I636" s="317"/>
      <c r="J636" s="318"/>
    </row>
    <row r="637" spans="1:10" ht="15" thickBot="1" x14ac:dyDescent="0.25">
      <c r="A637" s="317"/>
      <c r="B637" s="317"/>
      <c r="C637" s="317"/>
      <c r="D637" s="317"/>
      <c r="E637" s="317" t="s">
        <v>123</v>
      </c>
      <c r="F637" s="318">
        <v>4.3600000000000003</v>
      </c>
      <c r="G637" s="317"/>
      <c r="H637" s="366" t="s">
        <v>124</v>
      </c>
      <c r="I637" s="366"/>
      <c r="J637" s="318">
        <v>22.79</v>
      </c>
    </row>
    <row r="638" spans="1:10" ht="15" thickTop="1" x14ac:dyDescent="0.2">
      <c r="A638" s="299"/>
      <c r="B638" s="299"/>
      <c r="C638" s="299"/>
      <c r="D638" s="299"/>
      <c r="E638" s="299"/>
      <c r="F638" s="299"/>
      <c r="G638" s="299"/>
      <c r="H638" s="299"/>
      <c r="I638" s="299"/>
      <c r="J638" s="299"/>
    </row>
    <row r="639" spans="1:10" ht="15" x14ac:dyDescent="0.2">
      <c r="A639" s="291"/>
      <c r="B639" s="293" t="s">
        <v>6</v>
      </c>
      <c r="C639" s="291" t="s">
        <v>7</v>
      </c>
      <c r="D639" s="291" t="s">
        <v>8</v>
      </c>
      <c r="E639" s="367" t="s">
        <v>114</v>
      </c>
      <c r="F639" s="367"/>
      <c r="G639" s="292" t="s">
        <v>9</v>
      </c>
      <c r="H639" s="293" t="s">
        <v>10</v>
      </c>
      <c r="I639" s="293" t="s">
        <v>11</v>
      </c>
      <c r="J639" s="293" t="s">
        <v>12</v>
      </c>
    </row>
    <row r="640" spans="1:10" ht="25.5" x14ac:dyDescent="0.2">
      <c r="A640" s="294" t="s">
        <v>115</v>
      </c>
      <c r="B640" s="296" t="s">
        <v>1009</v>
      </c>
      <c r="C640" s="294" t="s">
        <v>119</v>
      </c>
      <c r="D640" s="294" t="s">
        <v>924</v>
      </c>
      <c r="E640" s="373" t="s">
        <v>121</v>
      </c>
      <c r="F640" s="373"/>
      <c r="G640" s="295" t="s">
        <v>98</v>
      </c>
      <c r="H640" s="298">
        <v>1</v>
      </c>
      <c r="I640" s="297">
        <v>33.08</v>
      </c>
      <c r="J640" s="297">
        <v>33.08</v>
      </c>
    </row>
    <row r="641" spans="1:10" ht="15" customHeight="1" x14ac:dyDescent="0.2">
      <c r="A641" s="367" t="s">
        <v>428</v>
      </c>
      <c r="B641" s="363" t="s">
        <v>6</v>
      </c>
      <c r="C641" s="367" t="s">
        <v>7</v>
      </c>
      <c r="D641" s="367" t="s">
        <v>429</v>
      </c>
      <c r="E641" s="363" t="s">
        <v>430</v>
      </c>
      <c r="F641" s="375" t="s">
        <v>431</v>
      </c>
      <c r="G641" s="363"/>
      <c r="H641" s="375" t="s">
        <v>432</v>
      </c>
      <c r="I641" s="363"/>
      <c r="J641" s="363" t="s">
        <v>433</v>
      </c>
    </row>
    <row r="642" spans="1:10" ht="15" x14ac:dyDescent="0.2">
      <c r="A642" s="363"/>
      <c r="B642" s="363"/>
      <c r="C642" s="363"/>
      <c r="D642" s="363"/>
      <c r="E642" s="363"/>
      <c r="F642" s="293" t="s">
        <v>434</v>
      </c>
      <c r="G642" s="293" t="s">
        <v>435</v>
      </c>
      <c r="H642" s="293" t="s">
        <v>434</v>
      </c>
      <c r="I642" s="293" t="s">
        <v>435</v>
      </c>
      <c r="J642" s="363"/>
    </row>
    <row r="643" spans="1:10" x14ac:dyDescent="0.2">
      <c r="A643" s="306" t="s">
        <v>130</v>
      </c>
      <c r="B643" s="308" t="s">
        <v>768</v>
      </c>
      <c r="C643" s="306" t="s">
        <v>119</v>
      </c>
      <c r="D643" s="306" t="s">
        <v>769</v>
      </c>
      <c r="E643" s="311">
        <v>1</v>
      </c>
      <c r="F643" s="309">
        <v>1</v>
      </c>
      <c r="G643" s="309">
        <v>0</v>
      </c>
      <c r="H643" s="310">
        <v>278.09460000000001</v>
      </c>
      <c r="I643" s="310">
        <v>75.520799999999994</v>
      </c>
      <c r="J643" s="310">
        <v>278.09460000000001</v>
      </c>
    </row>
    <row r="644" spans="1:10" x14ac:dyDescent="0.2">
      <c r="A644" s="364"/>
      <c r="B644" s="364"/>
      <c r="C644" s="364"/>
      <c r="D644" s="364"/>
      <c r="E644" s="364"/>
      <c r="F644" s="364"/>
      <c r="G644" s="364" t="s">
        <v>438</v>
      </c>
      <c r="H644" s="364"/>
      <c r="I644" s="364"/>
      <c r="J644" s="314">
        <v>278.09460000000001</v>
      </c>
    </row>
    <row r="645" spans="1:10" ht="15" x14ac:dyDescent="0.2">
      <c r="A645" s="291" t="s">
        <v>724</v>
      </c>
      <c r="B645" s="293" t="s">
        <v>6</v>
      </c>
      <c r="C645" s="291" t="s">
        <v>7</v>
      </c>
      <c r="D645" s="291" t="s">
        <v>160</v>
      </c>
      <c r="E645" s="293" t="s">
        <v>430</v>
      </c>
      <c r="F645" s="363" t="s">
        <v>725</v>
      </c>
      <c r="G645" s="363"/>
      <c r="H645" s="363"/>
      <c r="I645" s="363"/>
      <c r="J645" s="293" t="s">
        <v>433</v>
      </c>
    </row>
    <row r="646" spans="1:10" x14ac:dyDescent="0.2">
      <c r="A646" s="306" t="s">
        <v>130</v>
      </c>
      <c r="B646" s="308" t="s">
        <v>726</v>
      </c>
      <c r="C646" s="306" t="s">
        <v>119</v>
      </c>
      <c r="D646" s="306" t="s">
        <v>727</v>
      </c>
      <c r="E646" s="311">
        <v>6</v>
      </c>
      <c r="F646" s="306"/>
      <c r="G646" s="306"/>
      <c r="H646" s="306"/>
      <c r="I646" s="310">
        <v>18.924900000000001</v>
      </c>
      <c r="J646" s="310">
        <v>113.54940000000001</v>
      </c>
    </row>
    <row r="647" spans="1:10" x14ac:dyDescent="0.2">
      <c r="A647" s="364"/>
      <c r="B647" s="364"/>
      <c r="C647" s="364"/>
      <c r="D647" s="364"/>
      <c r="E647" s="364"/>
      <c r="F647" s="364"/>
      <c r="G647" s="364" t="s">
        <v>728</v>
      </c>
      <c r="H647" s="364"/>
      <c r="I647" s="364"/>
      <c r="J647" s="314">
        <v>113.54940000000001</v>
      </c>
    </row>
    <row r="648" spans="1:10" x14ac:dyDescent="0.2">
      <c r="A648" s="364"/>
      <c r="B648" s="364"/>
      <c r="C648" s="364"/>
      <c r="D648" s="364"/>
      <c r="E648" s="364"/>
      <c r="F648" s="364"/>
      <c r="G648" s="364" t="s">
        <v>729</v>
      </c>
      <c r="H648" s="364"/>
      <c r="I648" s="364"/>
      <c r="J648" s="314">
        <v>0</v>
      </c>
    </row>
    <row r="649" spans="1:10" x14ac:dyDescent="0.2">
      <c r="A649" s="364"/>
      <c r="B649" s="364"/>
      <c r="C649" s="364"/>
      <c r="D649" s="364"/>
      <c r="E649" s="364"/>
      <c r="F649" s="364"/>
      <c r="G649" s="364" t="s">
        <v>439</v>
      </c>
      <c r="H649" s="364"/>
      <c r="I649" s="364"/>
      <c r="J649" s="314">
        <v>391.64400000000001</v>
      </c>
    </row>
    <row r="650" spans="1:10" x14ac:dyDescent="0.2">
      <c r="A650" s="364"/>
      <c r="B650" s="364"/>
      <c r="C650" s="364"/>
      <c r="D650" s="364"/>
      <c r="E650" s="364"/>
      <c r="F650" s="364"/>
      <c r="G650" s="364" t="s">
        <v>440</v>
      </c>
      <c r="H650" s="364"/>
      <c r="I650" s="364"/>
      <c r="J650" s="314">
        <v>0</v>
      </c>
    </row>
    <row r="651" spans="1:10" x14ac:dyDescent="0.2">
      <c r="A651" s="364"/>
      <c r="B651" s="364"/>
      <c r="C651" s="364"/>
      <c r="D651" s="364"/>
      <c r="E651" s="364"/>
      <c r="F651" s="364"/>
      <c r="G651" s="364" t="s">
        <v>441</v>
      </c>
      <c r="H651" s="364"/>
      <c r="I651" s="364"/>
      <c r="J651" s="314">
        <v>0</v>
      </c>
    </row>
    <row r="652" spans="1:10" ht="15" customHeight="1" x14ac:dyDescent="0.2">
      <c r="A652" s="364"/>
      <c r="B652" s="364"/>
      <c r="C652" s="364"/>
      <c r="D652" s="364"/>
      <c r="E652" s="364"/>
      <c r="F652" s="364"/>
      <c r="G652" s="364" t="s">
        <v>442</v>
      </c>
      <c r="H652" s="364"/>
      <c r="I652" s="364"/>
      <c r="J652" s="314">
        <v>11.84</v>
      </c>
    </row>
    <row r="653" spans="1:10" x14ac:dyDescent="0.2">
      <c r="A653" s="364"/>
      <c r="B653" s="364"/>
      <c r="C653" s="364"/>
      <c r="D653" s="364"/>
      <c r="E653" s="364"/>
      <c r="F653" s="364"/>
      <c r="G653" s="364" t="s">
        <v>443</v>
      </c>
      <c r="H653" s="364"/>
      <c r="I653" s="364"/>
      <c r="J653" s="314">
        <v>33.078000000000003</v>
      </c>
    </row>
    <row r="654" spans="1:10" x14ac:dyDescent="0.2">
      <c r="A654" s="317"/>
      <c r="B654" s="317"/>
      <c r="C654" s="317"/>
      <c r="D654" s="317"/>
      <c r="E654" s="317"/>
      <c r="F654" s="318"/>
      <c r="G654" s="317"/>
      <c r="H654" s="318"/>
      <c r="I654" s="317"/>
      <c r="J654" s="318"/>
    </row>
    <row r="655" spans="1:10" ht="15" thickBot="1" x14ac:dyDescent="0.25">
      <c r="A655" s="317"/>
      <c r="B655" s="317"/>
      <c r="C655" s="317"/>
      <c r="D655" s="317"/>
      <c r="E655" s="317" t="s">
        <v>123</v>
      </c>
      <c r="F655" s="318">
        <v>7.83</v>
      </c>
      <c r="G655" s="317"/>
      <c r="H655" s="366" t="s">
        <v>124</v>
      </c>
      <c r="I655" s="366"/>
      <c r="J655" s="318">
        <v>40.909999999999997</v>
      </c>
    </row>
    <row r="656" spans="1:10" ht="15" thickTop="1" x14ac:dyDescent="0.2">
      <c r="A656" s="299"/>
      <c r="B656" s="299"/>
      <c r="C656" s="299"/>
      <c r="D656" s="299"/>
      <c r="E656" s="299"/>
      <c r="F656" s="299"/>
      <c r="G656" s="299"/>
      <c r="H656" s="299"/>
      <c r="I656" s="299"/>
      <c r="J656" s="299"/>
    </row>
    <row r="657" spans="1:10" ht="15" x14ac:dyDescent="0.2">
      <c r="A657" s="291"/>
      <c r="B657" s="293" t="s">
        <v>6</v>
      </c>
      <c r="C657" s="291" t="s">
        <v>7</v>
      </c>
      <c r="D657" s="291" t="s">
        <v>8</v>
      </c>
      <c r="E657" s="367" t="s">
        <v>114</v>
      </c>
      <c r="F657" s="367"/>
      <c r="G657" s="292" t="s">
        <v>9</v>
      </c>
      <c r="H657" s="293" t="s">
        <v>10</v>
      </c>
      <c r="I657" s="293" t="s">
        <v>11</v>
      </c>
      <c r="J657" s="293" t="s">
        <v>12</v>
      </c>
    </row>
    <row r="658" spans="1:10" ht="25.5" x14ac:dyDescent="0.2">
      <c r="A658" s="294" t="s">
        <v>115</v>
      </c>
      <c r="B658" s="296" t="s">
        <v>1010</v>
      </c>
      <c r="C658" s="294" t="s">
        <v>119</v>
      </c>
      <c r="D658" s="294" t="s">
        <v>922</v>
      </c>
      <c r="E658" s="373" t="s">
        <v>121</v>
      </c>
      <c r="F658" s="373"/>
      <c r="G658" s="295" t="s">
        <v>49</v>
      </c>
      <c r="H658" s="298">
        <v>1</v>
      </c>
      <c r="I658" s="297">
        <v>464.84</v>
      </c>
      <c r="J658" s="297">
        <v>464.84</v>
      </c>
    </row>
    <row r="659" spans="1:10" ht="15" x14ac:dyDescent="0.2">
      <c r="A659" s="367" t="s">
        <v>428</v>
      </c>
      <c r="B659" s="363" t="s">
        <v>6</v>
      </c>
      <c r="C659" s="367" t="s">
        <v>7</v>
      </c>
      <c r="D659" s="367" t="s">
        <v>429</v>
      </c>
      <c r="E659" s="363" t="s">
        <v>430</v>
      </c>
      <c r="F659" s="375" t="s">
        <v>431</v>
      </c>
      <c r="G659" s="363"/>
      <c r="H659" s="375" t="s">
        <v>432</v>
      </c>
      <c r="I659" s="363"/>
      <c r="J659" s="363" t="s">
        <v>433</v>
      </c>
    </row>
    <row r="660" spans="1:10" ht="15" x14ac:dyDescent="0.2">
      <c r="A660" s="363"/>
      <c r="B660" s="363"/>
      <c r="C660" s="363"/>
      <c r="D660" s="363"/>
      <c r="E660" s="363"/>
      <c r="F660" s="293" t="s">
        <v>434</v>
      </c>
      <c r="G660" s="293" t="s">
        <v>435</v>
      </c>
      <c r="H660" s="293" t="s">
        <v>434</v>
      </c>
      <c r="I660" s="293" t="s">
        <v>435</v>
      </c>
      <c r="J660" s="363"/>
    </row>
    <row r="661" spans="1:10" ht="25.5" x14ac:dyDescent="0.2">
      <c r="A661" s="306" t="s">
        <v>130</v>
      </c>
      <c r="B661" s="308" t="s">
        <v>953</v>
      </c>
      <c r="C661" s="306" t="s">
        <v>119</v>
      </c>
      <c r="D661" s="306" t="s">
        <v>954</v>
      </c>
      <c r="E661" s="311">
        <v>1</v>
      </c>
      <c r="F661" s="309">
        <v>1</v>
      </c>
      <c r="G661" s="309">
        <v>0</v>
      </c>
      <c r="H661" s="310">
        <v>1.4651000000000001</v>
      </c>
      <c r="I661" s="310">
        <v>0.98419999999999996</v>
      </c>
      <c r="J661" s="310">
        <v>1.4651000000000001</v>
      </c>
    </row>
    <row r="662" spans="1:10" x14ac:dyDescent="0.2">
      <c r="A662" s="306" t="s">
        <v>130</v>
      </c>
      <c r="B662" s="308" t="s">
        <v>955</v>
      </c>
      <c r="C662" s="306" t="s">
        <v>119</v>
      </c>
      <c r="D662" s="306" t="s">
        <v>956</v>
      </c>
      <c r="E662" s="311">
        <v>1</v>
      </c>
      <c r="F662" s="309">
        <v>1</v>
      </c>
      <c r="G662" s="309">
        <v>0</v>
      </c>
      <c r="H662" s="310">
        <v>54.163699999999999</v>
      </c>
      <c r="I662" s="310">
        <v>29.675699999999999</v>
      </c>
      <c r="J662" s="310">
        <v>54.163699999999999</v>
      </c>
    </row>
    <row r="663" spans="1:10" x14ac:dyDescent="0.2">
      <c r="A663" s="306" t="s">
        <v>130</v>
      </c>
      <c r="B663" s="308" t="s">
        <v>957</v>
      </c>
      <c r="C663" s="306" t="s">
        <v>119</v>
      </c>
      <c r="D663" s="306" t="s">
        <v>958</v>
      </c>
      <c r="E663" s="311">
        <v>1</v>
      </c>
      <c r="F663" s="309">
        <v>1</v>
      </c>
      <c r="G663" s="309">
        <v>0</v>
      </c>
      <c r="H663" s="310">
        <v>4.3324999999999996</v>
      </c>
      <c r="I663" s="310">
        <v>0.21790000000000001</v>
      </c>
      <c r="J663" s="310">
        <v>4.3324999999999996</v>
      </c>
    </row>
    <row r="664" spans="1:10" x14ac:dyDescent="0.2">
      <c r="A664" s="306" t="s">
        <v>130</v>
      </c>
      <c r="B664" s="308" t="s">
        <v>959</v>
      </c>
      <c r="C664" s="306" t="s">
        <v>119</v>
      </c>
      <c r="D664" s="306" t="s">
        <v>960</v>
      </c>
      <c r="E664" s="311">
        <v>4</v>
      </c>
      <c r="F664" s="309">
        <v>0.9</v>
      </c>
      <c r="G664" s="309">
        <v>0.1</v>
      </c>
      <c r="H664" s="310">
        <v>0.70809999999999995</v>
      </c>
      <c r="I664" s="310">
        <v>0.48139999999999999</v>
      </c>
      <c r="J664" s="310">
        <v>2.7416999999999998</v>
      </c>
    </row>
    <row r="665" spans="1:10" ht="15" customHeight="1" x14ac:dyDescent="0.2">
      <c r="A665" s="306" t="s">
        <v>130</v>
      </c>
      <c r="B665" s="308" t="s">
        <v>961</v>
      </c>
      <c r="C665" s="306" t="s">
        <v>119</v>
      </c>
      <c r="D665" s="306" t="s">
        <v>962</v>
      </c>
      <c r="E665" s="311">
        <v>3</v>
      </c>
      <c r="F665" s="309">
        <v>0.41</v>
      </c>
      <c r="G665" s="309">
        <v>0.59</v>
      </c>
      <c r="H665" s="310">
        <v>1.5289999999999999</v>
      </c>
      <c r="I665" s="310">
        <v>1.0395000000000001</v>
      </c>
      <c r="J665" s="310">
        <v>3.7206000000000001</v>
      </c>
    </row>
    <row r="666" spans="1:10" x14ac:dyDescent="0.2">
      <c r="A666" s="364"/>
      <c r="B666" s="364"/>
      <c r="C666" s="364"/>
      <c r="D666" s="364"/>
      <c r="E666" s="364"/>
      <c r="F666" s="364"/>
      <c r="G666" s="364" t="s">
        <v>438</v>
      </c>
      <c r="H666" s="364"/>
      <c r="I666" s="364"/>
      <c r="J666" s="314">
        <v>66.423599999999993</v>
      </c>
    </row>
    <row r="667" spans="1:10" ht="15" x14ac:dyDescent="0.2">
      <c r="A667" s="291" t="s">
        <v>724</v>
      </c>
      <c r="B667" s="293" t="s">
        <v>6</v>
      </c>
      <c r="C667" s="291" t="s">
        <v>7</v>
      </c>
      <c r="D667" s="291" t="s">
        <v>160</v>
      </c>
      <c r="E667" s="293" t="s">
        <v>430</v>
      </c>
      <c r="F667" s="363" t="s">
        <v>725</v>
      </c>
      <c r="G667" s="363"/>
      <c r="H667" s="363"/>
      <c r="I667" s="363"/>
      <c r="J667" s="293" t="s">
        <v>433</v>
      </c>
    </row>
    <row r="668" spans="1:10" x14ac:dyDescent="0.2">
      <c r="A668" s="306" t="s">
        <v>130</v>
      </c>
      <c r="B668" s="308" t="s">
        <v>963</v>
      </c>
      <c r="C668" s="306" t="s">
        <v>119</v>
      </c>
      <c r="D668" s="306" t="s">
        <v>964</v>
      </c>
      <c r="E668" s="311">
        <v>1</v>
      </c>
      <c r="F668" s="306"/>
      <c r="G668" s="306"/>
      <c r="H668" s="306"/>
      <c r="I668" s="310">
        <v>26.464500000000001</v>
      </c>
      <c r="J668" s="310">
        <v>26.464500000000001</v>
      </c>
    </row>
    <row r="669" spans="1:10" x14ac:dyDescent="0.2">
      <c r="A669" s="306" t="s">
        <v>130</v>
      </c>
      <c r="B669" s="308" t="s">
        <v>726</v>
      </c>
      <c r="C669" s="306" t="s">
        <v>119</v>
      </c>
      <c r="D669" s="306" t="s">
        <v>727</v>
      </c>
      <c r="E669" s="311">
        <v>9</v>
      </c>
      <c r="F669" s="306"/>
      <c r="G669" s="306"/>
      <c r="H669" s="306"/>
      <c r="I669" s="310">
        <v>18.924900000000001</v>
      </c>
      <c r="J669" s="310">
        <v>170.32409999999999</v>
      </c>
    </row>
    <row r="670" spans="1:10" x14ac:dyDescent="0.2">
      <c r="A670" s="364"/>
      <c r="B670" s="364"/>
      <c r="C670" s="364"/>
      <c r="D670" s="364"/>
      <c r="E670" s="364"/>
      <c r="F670" s="364"/>
      <c r="G670" s="364" t="s">
        <v>728</v>
      </c>
      <c r="H670" s="364"/>
      <c r="I670" s="364"/>
      <c r="J670" s="314">
        <v>196.7886</v>
      </c>
    </row>
    <row r="671" spans="1:10" x14ac:dyDescent="0.2">
      <c r="A671" s="364"/>
      <c r="B671" s="364"/>
      <c r="C671" s="364"/>
      <c r="D671" s="364"/>
      <c r="E671" s="364"/>
      <c r="F671" s="364"/>
      <c r="G671" s="364" t="s">
        <v>729</v>
      </c>
      <c r="H671" s="364"/>
      <c r="I671" s="364"/>
      <c r="J671" s="314">
        <v>0</v>
      </c>
    </row>
    <row r="672" spans="1:10" x14ac:dyDescent="0.2">
      <c r="A672" s="364"/>
      <c r="B672" s="364"/>
      <c r="C672" s="364"/>
      <c r="D672" s="364"/>
      <c r="E672" s="364"/>
      <c r="F672" s="364"/>
      <c r="G672" s="364" t="s">
        <v>439</v>
      </c>
      <c r="H672" s="364"/>
      <c r="I672" s="364"/>
      <c r="J672" s="314">
        <v>263.2122</v>
      </c>
    </row>
    <row r="673" spans="1:10" x14ac:dyDescent="0.2">
      <c r="A673" s="364"/>
      <c r="B673" s="364"/>
      <c r="C673" s="364"/>
      <c r="D673" s="364"/>
      <c r="E673" s="364"/>
      <c r="F673" s="364"/>
      <c r="G673" s="364" t="s">
        <v>440</v>
      </c>
      <c r="H673" s="364"/>
      <c r="I673" s="364"/>
      <c r="J673" s="314">
        <v>0</v>
      </c>
    </row>
    <row r="674" spans="1:10" x14ac:dyDescent="0.2">
      <c r="A674" s="364"/>
      <c r="B674" s="364"/>
      <c r="C674" s="364"/>
      <c r="D674" s="364"/>
      <c r="E674" s="364"/>
      <c r="F674" s="364"/>
      <c r="G674" s="364" t="s">
        <v>441</v>
      </c>
      <c r="H674" s="364"/>
      <c r="I674" s="364"/>
      <c r="J674" s="314">
        <v>0</v>
      </c>
    </row>
    <row r="675" spans="1:10" x14ac:dyDescent="0.2">
      <c r="A675" s="364"/>
      <c r="B675" s="364"/>
      <c r="C675" s="364"/>
      <c r="D675" s="364"/>
      <c r="E675" s="364"/>
      <c r="F675" s="364"/>
      <c r="G675" s="364" t="s">
        <v>442</v>
      </c>
      <c r="H675" s="364"/>
      <c r="I675" s="364"/>
      <c r="J675" s="314">
        <v>3.9289999999999998</v>
      </c>
    </row>
    <row r="676" spans="1:10" ht="15" customHeight="1" x14ac:dyDescent="0.2">
      <c r="A676" s="364"/>
      <c r="B676" s="364"/>
      <c r="C676" s="364"/>
      <c r="D676" s="364"/>
      <c r="E676" s="364"/>
      <c r="F676" s="364"/>
      <c r="G676" s="364" t="s">
        <v>443</v>
      </c>
      <c r="H676" s="364"/>
      <c r="I676" s="364"/>
      <c r="J676" s="314">
        <v>66.9923</v>
      </c>
    </row>
    <row r="677" spans="1:10" ht="15" x14ac:dyDescent="0.2">
      <c r="A677" s="291" t="s">
        <v>801</v>
      </c>
      <c r="B677" s="293" t="s">
        <v>7</v>
      </c>
      <c r="C677" s="291" t="s">
        <v>6</v>
      </c>
      <c r="D677" s="291" t="s">
        <v>61</v>
      </c>
      <c r="E677" s="293" t="s">
        <v>430</v>
      </c>
      <c r="F677" s="293" t="s">
        <v>740</v>
      </c>
      <c r="G677" s="363" t="s">
        <v>741</v>
      </c>
      <c r="H677" s="363"/>
      <c r="I677" s="363"/>
      <c r="J677" s="293" t="s">
        <v>433</v>
      </c>
    </row>
    <row r="678" spans="1:10" x14ac:dyDescent="0.2">
      <c r="A678" s="306" t="s">
        <v>130</v>
      </c>
      <c r="B678" s="308" t="s">
        <v>119</v>
      </c>
      <c r="C678" s="306" t="s">
        <v>965</v>
      </c>
      <c r="D678" s="306" t="s">
        <v>966</v>
      </c>
      <c r="E678" s="311">
        <v>0.84645999999999999</v>
      </c>
      <c r="F678" s="307" t="s">
        <v>810</v>
      </c>
      <c r="G678" s="376">
        <v>5.7210999999999999</v>
      </c>
      <c r="H678" s="376"/>
      <c r="I678" s="365"/>
      <c r="J678" s="310">
        <v>4.8426999999999998</v>
      </c>
    </row>
    <row r="679" spans="1:10" x14ac:dyDescent="0.2">
      <c r="A679" s="306" t="s">
        <v>130</v>
      </c>
      <c r="B679" s="308" t="s">
        <v>119</v>
      </c>
      <c r="C679" s="306" t="s">
        <v>967</v>
      </c>
      <c r="D679" s="306" t="s">
        <v>968</v>
      </c>
      <c r="E679" s="311">
        <v>0.63334000000000001</v>
      </c>
      <c r="F679" s="307" t="s">
        <v>49</v>
      </c>
      <c r="G679" s="376">
        <v>164.77969999999999</v>
      </c>
      <c r="H679" s="376"/>
      <c r="I679" s="365"/>
      <c r="J679" s="310">
        <v>104.3616</v>
      </c>
    </row>
    <row r="680" spans="1:10" x14ac:dyDescent="0.2">
      <c r="A680" s="306" t="s">
        <v>130</v>
      </c>
      <c r="B680" s="308" t="s">
        <v>119</v>
      </c>
      <c r="C680" s="306" t="s">
        <v>806</v>
      </c>
      <c r="D680" s="306" t="s">
        <v>807</v>
      </c>
      <c r="E680" s="311">
        <v>0.36753999999999998</v>
      </c>
      <c r="F680" s="307" t="s">
        <v>49</v>
      </c>
      <c r="G680" s="376">
        <v>121.2959</v>
      </c>
      <c r="H680" s="376"/>
      <c r="I680" s="365"/>
      <c r="J680" s="310">
        <v>44.581099999999999</v>
      </c>
    </row>
    <row r="681" spans="1:10" x14ac:dyDescent="0.2">
      <c r="A681" s="306" t="s">
        <v>130</v>
      </c>
      <c r="B681" s="308" t="s">
        <v>119</v>
      </c>
      <c r="C681" s="306" t="s">
        <v>969</v>
      </c>
      <c r="D681" s="306" t="s">
        <v>970</v>
      </c>
      <c r="E681" s="311">
        <v>0.36753999999999998</v>
      </c>
      <c r="F681" s="307" t="s">
        <v>49</v>
      </c>
      <c r="G681" s="376">
        <v>116.2597</v>
      </c>
      <c r="H681" s="376"/>
      <c r="I681" s="365"/>
      <c r="J681" s="310">
        <v>42.7301</v>
      </c>
    </row>
    <row r="682" spans="1:10" x14ac:dyDescent="0.2">
      <c r="A682" s="306" t="s">
        <v>130</v>
      </c>
      <c r="B682" s="308" t="s">
        <v>119</v>
      </c>
      <c r="C682" s="306" t="s">
        <v>971</v>
      </c>
      <c r="D682" s="306" t="s">
        <v>972</v>
      </c>
      <c r="E682" s="311">
        <v>282.15206999999998</v>
      </c>
      <c r="F682" s="307" t="s">
        <v>810</v>
      </c>
      <c r="G682" s="376">
        <v>0.66779999999999995</v>
      </c>
      <c r="H682" s="376"/>
      <c r="I682" s="365"/>
      <c r="J682" s="310">
        <v>188.4212</v>
      </c>
    </row>
    <row r="683" spans="1:10" x14ac:dyDescent="0.2">
      <c r="A683" s="364"/>
      <c r="B683" s="364"/>
      <c r="C683" s="364"/>
      <c r="D683" s="364"/>
      <c r="E683" s="364"/>
      <c r="F683" s="364"/>
      <c r="G683" s="364" t="s">
        <v>816</v>
      </c>
      <c r="H683" s="364"/>
      <c r="I683" s="364"/>
      <c r="J683" s="314">
        <v>384.93669999999997</v>
      </c>
    </row>
    <row r="684" spans="1:10" ht="15" x14ac:dyDescent="0.2">
      <c r="A684" s="291" t="s">
        <v>745</v>
      </c>
      <c r="B684" s="293" t="s">
        <v>7</v>
      </c>
      <c r="C684" s="291" t="s">
        <v>130</v>
      </c>
      <c r="D684" s="291" t="s">
        <v>746</v>
      </c>
      <c r="E684" s="293" t="s">
        <v>6</v>
      </c>
      <c r="F684" s="293" t="s">
        <v>430</v>
      </c>
      <c r="G684" s="292" t="s">
        <v>740</v>
      </c>
      <c r="H684" s="363" t="s">
        <v>741</v>
      </c>
      <c r="I684" s="363"/>
      <c r="J684" s="293" t="s">
        <v>433</v>
      </c>
    </row>
    <row r="685" spans="1:10" ht="25.5" x14ac:dyDescent="0.2">
      <c r="A685" s="300" t="s">
        <v>747</v>
      </c>
      <c r="B685" s="302" t="s">
        <v>119</v>
      </c>
      <c r="C685" s="300" t="s">
        <v>965</v>
      </c>
      <c r="D685" s="300" t="s">
        <v>924</v>
      </c>
      <c r="E685" s="302">
        <v>5914655</v>
      </c>
      <c r="F685" s="305">
        <v>8.4999999999999995E-4</v>
      </c>
      <c r="G685" s="301" t="s">
        <v>98</v>
      </c>
      <c r="H685" s="374">
        <v>33.08</v>
      </c>
      <c r="I685" s="368"/>
      <c r="J685" s="304">
        <v>2.81E-2</v>
      </c>
    </row>
    <row r="686" spans="1:10" ht="25.5" x14ac:dyDescent="0.2">
      <c r="A686" s="300" t="s">
        <v>747</v>
      </c>
      <c r="B686" s="302" t="s">
        <v>119</v>
      </c>
      <c r="C686" s="300" t="s">
        <v>967</v>
      </c>
      <c r="D686" s="300" t="s">
        <v>776</v>
      </c>
      <c r="E686" s="302">
        <v>5914647</v>
      </c>
      <c r="F686" s="305">
        <v>0.95001000000000002</v>
      </c>
      <c r="G686" s="301" t="s">
        <v>98</v>
      </c>
      <c r="H686" s="374">
        <v>1.73</v>
      </c>
      <c r="I686" s="368"/>
      <c r="J686" s="304">
        <v>1.6435</v>
      </c>
    </row>
    <row r="687" spans="1:10" ht="26.25" customHeight="1" x14ac:dyDescent="0.2">
      <c r="A687" s="300" t="s">
        <v>747</v>
      </c>
      <c r="B687" s="302" t="s">
        <v>119</v>
      </c>
      <c r="C687" s="300" t="s">
        <v>806</v>
      </c>
      <c r="D687" s="300" t="s">
        <v>776</v>
      </c>
      <c r="E687" s="302">
        <v>5914647</v>
      </c>
      <c r="F687" s="305">
        <v>0.55130999999999997</v>
      </c>
      <c r="G687" s="301" t="s">
        <v>98</v>
      </c>
      <c r="H687" s="374">
        <v>1.73</v>
      </c>
      <c r="I687" s="368"/>
      <c r="J687" s="304">
        <v>0.95379999999999998</v>
      </c>
    </row>
    <row r="688" spans="1:10" ht="25.5" x14ac:dyDescent="0.2">
      <c r="A688" s="300" t="s">
        <v>747</v>
      </c>
      <c r="B688" s="302" t="s">
        <v>119</v>
      </c>
      <c r="C688" s="300" t="s">
        <v>969</v>
      </c>
      <c r="D688" s="300" t="s">
        <v>776</v>
      </c>
      <c r="E688" s="302">
        <v>5914647</v>
      </c>
      <c r="F688" s="305">
        <v>0.55130999999999997</v>
      </c>
      <c r="G688" s="301" t="s">
        <v>98</v>
      </c>
      <c r="H688" s="374">
        <v>1.73</v>
      </c>
      <c r="I688" s="368"/>
      <c r="J688" s="304">
        <v>0.95379999999999998</v>
      </c>
    </row>
    <row r="689" spans="1:10" ht="25.5" x14ac:dyDescent="0.2">
      <c r="A689" s="300" t="s">
        <v>747</v>
      </c>
      <c r="B689" s="302" t="s">
        <v>119</v>
      </c>
      <c r="C689" s="300" t="s">
        <v>971</v>
      </c>
      <c r="D689" s="300" t="s">
        <v>924</v>
      </c>
      <c r="E689" s="302">
        <v>5914655</v>
      </c>
      <c r="F689" s="305">
        <v>0.28215000000000001</v>
      </c>
      <c r="G689" s="301" t="s">
        <v>98</v>
      </c>
      <c r="H689" s="374">
        <v>33.08</v>
      </c>
      <c r="I689" s="368"/>
      <c r="J689" s="304">
        <v>9.3335000000000008</v>
      </c>
    </row>
    <row r="690" spans="1:10" x14ac:dyDescent="0.2">
      <c r="A690" s="364"/>
      <c r="B690" s="364"/>
      <c r="C690" s="364"/>
      <c r="D690" s="364"/>
      <c r="E690" s="364"/>
      <c r="F690" s="364"/>
      <c r="G690" s="364" t="s">
        <v>749</v>
      </c>
      <c r="H690" s="364"/>
      <c r="I690" s="364"/>
      <c r="J690" s="314">
        <v>12.912699999999999</v>
      </c>
    </row>
    <row r="691" spans="1:10" ht="15" x14ac:dyDescent="0.2">
      <c r="A691" s="291" t="s">
        <v>750</v>
      </c>
      <c r="B691" s="293" t="s">
        <v>7</v>
      </c>
      <c r="C691" s="291" t="s">
        <v>130</v>
      </c>
      <c r="D691" s="291" t="s">
        <v>751</v>
      </c>
      <c r="E691" s="293" t="s">
        <v>430</v>
      </c>
      <c r="F691" s="293" t="s">
        <v>740</v>
      </c>
      <c r="G691" s="375" t="s">
        <v>752</v>
      </c>
      <c r="H691" s="363"/>
      <c r="I691" s="363"/>
      <c r="J691" s="293" t="s">
        <v>433</v>
      </c>
    </row>
    <row r="692" spans="1:10" ht="15" x14ac:dyDescent="0.2">
      <c r="A692" s="292"/>
      <c r="B692" s="292"/>
      <c r="C692" s="292"/>
      <c r="D692" s="292"/>
      <c r="E692" s="292"/>
      <c r="F692" s="292"/>
      <c r="G692" s="292" t="s">
        <v>753</v>
      </c>
      <c r="H692" s="292" t="s">
        <v>754</v>
      </c>
      <c r="I692" s="292" t="s">
        <v>755</v>
      </c>
      <c r="J692" s="292"/>
    </row>
    <row r="693" spans="1:10" ht="38.25" x14ac:dyDescent="0.2">
      <c r="A693" s="300" t="s">
        <v>751</v>
      </c>
      <c r="B693" s="302" t="s">
        <v>119</v>
      </c>
      <c r="C693" s="300" t="s">
        <v>965</v>
      </c>
      <c r="D693" s="300" t="s">
        <v>973</v>
      </c>
      <c r="E693" s="305">
        <v>8.4999999999999995E-4</v>
      </c>
      <c r="F693" s="301" t="s">
        <v>122</v>
      </c>
      <c r="G693" s="302" t="s">
        <v>926</v>
      </c>
      <c r="H693" s="302" t="s">
        <v>927</v>
      </c>
      <c r="I693" s="302" t="s">
        <v>928</v>
      </c>
      <c r="J693" s="304">
        <v>0</v>
      </c>
    </row>
    <row r="694" spans="1:10" ht="38.25" x14ac:dyDescent="0.2">
      <c r="A694" s="300" t="s">
        <v>751</v>
      </c>
      <c r="B694" s="302" t="s">
        <v>119</v>
      </c>
      <c r="C694" s="300" t="s">
        <v>967</v>
      </c>
      <c r="D694" s="300" t="s">
        <v>974</v>
      </c>
      <c r="E694" s="305">
        <v>0.95001000000000002</v>
      </c>
      <c r="F694" s="301" t="s">
        <v>122</v>
      </c>
      <c r="G694" s="302" t="s">
        <v>757</v>
      </c>
      <c r="H694" s="302" t="s">
        <v>758</v>
      </c>
      <c r="I694" s="302" t="s">
        <v>759</v>
      </c>
      <c r="J694" s="304">
        <v>0</v>
      </c>
    </row>
    <row r="695" spans="1:10" ht="38.25" x14ac:dyDescent="0.2">
      <c r="A695" s="300" t="s">
        <v>751</v>
      </c>
      <c r="B695" s="302" t="s">
        <v>119</v>
      </c>
      <c r="C695" s="300" t="s">
        <v>806</v>
      </c>
      <c r="D695" s="300" t="s">
        <v>819</v>
      </c>
      <c r="E695" s="305">
        <v>0.55130999999999997</v>
      </c>
      <c r="F695" s="301" t="s">
        <v>122</v>
      </c>
      <c r="G695" s="302" t="s">
        <v>757</v>
      </c>
      <c r="H695" s="302" t="s">
        <v>758</v>
      </c>
      <c r="I695" s="302" t="s">
        <v>759</v>
      </c>
      <c r="J695" s="304">
        <v>0</v>
      </c>
    </row>
    <row r="696" spans="1:10" ht="38.25" x14ac:dyDescent="0.2">
      <c r="A696" s="300" t="s">
        <v>751</v>
      </c>
      <c r="B696" s="302" t="s">
        <v>119</v>
      </c>
      <c r="C696" s="300" t="s">
        <v>969</v>
      </c>
      <c r="D696" s="300" t="s">
        <v>975</v>
      </c>
      <c r="E696" s="305">
        <v>0.55130999999999997</v>
      </c>
      <c r="F696" s="301" t="s">
        <v>122</v>
      </c>
      <c r="G696" s="302" t="s">
        <v>757</v>
      </c>
      <c r="H696" s="302" t="s">
        <v>758</v>
      </c>
      <c r="I696" s="302" t="s">
        <v>759</v>
      </c>
      <c r="J696" s="304">
        <v>0</v>
      </c>
    </row>
    <row r="697" spans="1:10" ht="38.25" x14ac:dyDescent="0.2">
      <c r="A697" s="300" t="s">
        <v>751</v>
      </c>
      <c r="B697" s="302" t="s">
        <v>119</v>
      </c>
      <c r="C697" s="300" t="s">
        <v>971</v>
      </c>
      <c r="D697" s="300" t="s">
        <v>976</v>
      </c>
      <c r="E697" s="305">
        <v>0.28215000000000001</v>
      </c>
      <c r="F697" s="301" t="s">
        <v>122</v>
      </c>
      <c r="G697" s="302" t="s">
        <v>926</v>
      </c>
      <c r="H697" s="302" t="s">
        <v>927</v>
      </c>
      <c r="I697" s="302" t="s">
        <v>928</v>
      </c>
      <c r="J697" s="304">
        <v>0</v>
      </c>
    </row>
    <row r="698" spans="1:10" x14ac:dyDescent="0.2">
      <c r="A698" s="364"/>
      <c r="B698" s="364"/>
      <c r="C698" s="364"/>
      <c r="D698" s="364"/>
      <c r="E698" s="364"/>
      <c r="F698" s="364"/>
      <c r="G698" s="364" t="s">
        <v>760</v>
      </c>
      <c r="H698" s="364"/>
      <c r="I698" s="364"/>
      <c r="J698" s="314">
        <v>0</v>
      </c>
    </row>
    <row r="699" spans="1:10" ht="14.25" customHeight="1" x14ac:dyDescent="0.2">
      <c r="A699" s="317"/>
      <c r="B699" s="317"/>
      <c r="C699" s="317"/>
      <c r="D699" s="317"/>
      <c r="E699" s="317"/>
      <c r="F699" s="318"/>
      <c r="G699" s="317"/>
      <c r="H699" s="318"/>
      <c r="I699" s="317"/>
      <c r="J699" s="318"/>
    </row>
    <row r="700" spans="1:10" ht="14.25" customHeight="1" thickBot="1" x14ac:dyDescent="0.25">
      <c r="A700" s="317"/>
      <c r="B700" s="317"/>
      <c r="C700" s="317"/>
      <c r="D700" s="317"/>
      <c r="E700" s="317" t="s">
        <v>123</v>
      </c>
      <c r="F700" s="318">
        <v>110.16</v>
      </c>
      <c r="G700" s="317"/>
      <c r="H700" s="366" t="s">
        <v>124</v>
      </c>
      <c r="I700" s="366"/>
      <c r="J700" s="318">
        <v>575</v>
      </c>
    </row>
    <row r="701" spans="1:10" ht="14.25" customHeight="1" thickTop="1" x14ac:dyDescent="0.2">
      <c r="A701" s="299"/>
      <c r="B701" s="299"/>
      <c r="C701" s="299"/>
      <c r="D701" s="299"/>
      <c r="E701" s="299"/>
      <c r="F701" s="299"/>
      <c r="G701" s="299"/>
      <c r="H701" s="299"/>
      <c r="I701" s="299"/>
      <c r="J701" s="299"/>
    </row>
    <row r="702" spans="1:10" ht="14.25" customHeight="1" x14ac:dyDescent="0.2">
      <c r="A702" s="291"/>
      <c r="B702" s="293" t="s">
        <v>6</v>
      </c>
      <c r="C702" s="291" t="s">
        <v>7</v>
      </c>
      <c r="D702" s="291" t="s">
        <v>8</v>
      </c>
      <c r="E702" s="367" t="s">
        <v>114</v>
      </c>
      <c r="F702" s="367"/>
      <c r="G702" s="292" t="s">
        <v>9</v>
      </c>
      <c r="H702" s="293" t="s">
        <v>10</v>
      </c>
      <c r="I702" s="293" t="s">
        <v>11</v>
      </c>
      <c r="J702" s="293" t="s">
        <v>12</v>
      </c>
    </row>
    <row r="703" spans="1:10" ht="25.5" customHeight="1" x14ac:dyDescent="0.2">
      <c r="A703" s="294" t="s">
        <v>115</v>
      </c>
      <c r="B703" s="296" t="s">
        <v>174</v>
      </c>
      <c r="C703" s="294" t="s">
        <v>38</v>
      </c>
      <c r="D703" s="294" t="s">
        <v>175</v>
      </c>
      <c r="E703" s="373" t="s">
        <v>116</v>
      </c>
      <c r="F703" s="373"/>
      <c r="G703" s="295" t="s">
        <v>127</v>
      </c>
      <c r="H703" s="298">
        <v>1</v>
      </c>
      <c r="I703" s="297">
        <v>33.729999999999997</v>
      </c>
      <c r="J703" s="297">
        <v>33.729999999999997</v>
      </c>
    </row>
    <row r="704" spans="1:10" ht="25.5" customHeight="1" x14ac:dyDescent="0.2">
      <c r="A704" s="300" t="s">
        <v>117</v>
      </c>
      <c r="B704" s="302" t="s">
        <v>300</v>
      </c>
      <c r="C704" s="300" t="s">
        <v>38</v>
      </c>
      <c r="D704" s="300" t="s">
        <v>301</v>
      </c>
      <c r="E704" s="368" t="s">
        <v>116</v>
      </c>
      <c r="F704" s="368"/>
      <c r="G704" s="301" t="s">
        <v>127</v>
      </c>
      <c r="H704" s="305">
        <v>1</v>
      </c>
      <c r="I704" s="303">
        <v>0.13</v>
      </c>
      <c r="J704" s="303">
        <v>0.13</v>
      </c>
    </row>
    <row r="705" spans="1:10" x14ac:dyDescent="0.2">
      <c r="A705" s="306" t="s">
        <v>130</v>
      </c>
      <c r="B705" s="308" t="s">
        <v>302</v>
      </c>
      <c r="C705" s="306" t="s">
        <v>38</v>
      </c>
      <c r="D705" s="306" t="s">
        <v>303</v>
      </c>
      <c r="E705" s="365" t="s">
        <v>160</v>
      </c>
      <c r="F705" s="365"/>
      <c r="G705" s="307" t="s">
        <v>127</v>
      </c>
      <c r="H705" s="311">
        <v>1</v>
      </c>
      <c r="I705" s="309">
        <v>32.04</v>
      </c>
      <c r="J705" s="309">
        <v>32.04</v>
      </c>
    </row>
    <row r="706" spans="1:10" ht="26.25" customHeight="1" x14ac:dyDescent="0.2">
      <c r="A706" s="306" t="s">
        <v>130</v>
      </c>
      <c r="B706" s="308" t="s">
        <v>342</v>
      </c>
      <c r="C706" s="306" t="s">
        <v>38</v>
      </c>
      <c r="D706" s="306" t="s">
        <v>343</v>
      </c>
      <c r="E706" s="365" t="s">
        <v>148</v>
      </c>
      <c r="F706" s="365"/>
      <c r="G706" s="307" t="s">
        <v>127</v>
      </c>
      <c r="H706" s="311">
        <v>1</v>
      </c>
      <c r="I706" s="309">
        <v>0.62</v>
      </c>
      <c r="J706" s="309">
        <v>0.62</v>
      </c>
    </row>
    <row r="707" spans="1:10" ht="15" customHeight="1" x14ac:dyDescent="0.2">
      <c r="A707" s="306" t="s">
        <v>130</v>
      </c>
      <c r="B707" s="308" t="s">
        <v>223</v>
      </c>
      <c r="C707" s="306" t="s">
        <v>38</v>
      </c>
      <c r="D707" s="306" t="s">
        <v>224</v>
      </c>
      <c r="E707" s="365" t="s">
        <v>225</v>
      </c>
      <c r="F707" s="365"/>
      <c r="G707" s="307" t="s">
        <v>127</v>
      </c>
      <c r="H707" s="311">
        <v>1</v>
      </c>
      <c r="I707" s="309">
        <v>0.81</v>
      </c>
      <c r="J707" s="309">
        <v>0.81</v>
      </c>
    </row>
    <row r="708" spans="1:10" ht="25.5" customHeight="1" x14ac:dyDescent="0.2">
      <c r="A708" s="306" t="s">
        <v>130</v>
      </c>
      <c r="B708" s="308" t="s">
        <v>344</v>
      </c>
      <c r="C708" s="306" t="s">
        <v>38</v>
      </c>
      <c r="D708" s="306" t="s">
        <v>345</v>
      </c>
      <c r="E708" s="365" t="s">
        <v>148</v>
      </c>
      <c r="F708" s="365"/>
      <c r="G708" s="307" t="s">
        <v>127</v>
      </c>
      <c r="H708" s="311">
        <v>1</v>
      </c>
      <c r="I708" s="309">
        <v>7.0000000000000007E-2</v>
      </c>
      <c r="J708" s="309">
        <v>7.0000000000000007E-2</v>
      </c>
    </row>
    <row r="709" spans="1:10" ht="14.25" customHeight="1" x14ac:dyDescent="0.2">
      <c r="A709" s="306" t="s">
        <v>130</v>
      </c>
      <c r="B709" s="308" t="s">
        <v>228</v>
      </c>
      <c r="C709" s="306" t="s">
        <v>38</v>
      </c>
      <c r="D709" s="306" t="s">
        <v>229</v>
      </c>
      <c r="E709" s="365" t="s">
        <v>230</v>
      </c>
      <c r="F709" s="365"/>
      <c r="G709" s="307" t="s">
        <v>127</v>
      </c>
      <c r="H709" s="311">
        <v>1</v>
      </c>
      <c r="I709" s="309">
        <v>0.06</v>
      </c>
      <c r="J709" s="309">
        <v>0.06</v>
      </c>
    </row>
    <row r="710" spans="1:10" ht="14.25" customHeight="1" x14ac:dyDescent="0.2">
      <c r="A710" s="317"/>
      <c r="B710" s="317"/>
      <c r="C710" s="317"/>
      <c r="D710" s="317"/>
      <c r="E710" s="317"/>
      <c r="F710" s="318"/>
      <c r="G710" s="317"/>
      <c r="H710" s="318"/>
      <c r="I710" s="317"/>
      <c r="J710" s="318"/>
    </row>
    <row r="711" spans="1:10" ht="15" thickBot="1" x14ac:dyDescent="0.25">
      <c r="A711" s="317"/>
      <c r="B711" s="317"/>
      <c r="C711" s="317"/>
      <c r="D711" s="317"/>
      <c r="E711" s="317" t="s">
        <v>123</v>
      </c>
      <c r="F711" s="318">
        <v>7.99</v>
      </c>
      <c r="G711" s="317"/>
      <c r="H711" s="366" t="s">
        <v>124</v>
      </c>
      <c r="I711" s="366"/>
      <c r="J711" s="318">
        <v>41.72</v>
      </c>
    </row>
    <row r="712" spans="1:10" ht="15" customHeight="1" thickTop="1" x14ac:dyDescent="0.2">
      <c r="A712" s="299"/>
      <c r="B712" s="299"/>
      <c r="C712" s="299"/>
      <c r="D712" s="299"/>
      <c r="E712" s="299"/>
      <c r="F712" s="299"/>
      <c r="G712" s="299"/>
      <c r="H712" s="299"/>
      <c r="I712" s="299"/>
      <c r="J712" s="299"/>
    </row>
    <row r="713" spans="1:10" ht="15" customHeight="1" x14ac:dyDescent="0.2">
      <c r="A713" s="291"/>
      <c r="B713" s="293" t="s">
        <v>6</v>
      </c>
      <c r="C713" s="291" t="s">
        <v>7</v>
      </c>
      <c r="D713" s="291" t="s">
        <v>8</v>
      </c>
      <c r="E713" s="367" t="s">
        <v>114</v>
      </c>
      <c r="F713" s="367"/>
      <c r="G713" s="292" t="s">
        <v>9</v>
      </c>
      <c r="H713" s="293" t="s">
        <v>10</v>
      </c>
      <c r="I713" s="293" t="s">
        <v>11</v>
      </c>
      <c r="J713" s="293" t="s">
        <v>12</v>
      </c>
    </row>
    <row r="714" spans="1:10" ht="25.5" customHeight="1" x14ac:dyDescent="0.2">
      <c r="A714" s="294" t="s">
        <v>115</v>
      </c>
      <c r="B714" s="296" t="s">
        <v>184</v>
      </c>
      <c r="C714" s="294" t="s">
        <v>38</v>
      </c>
      <c r="D714" s="294" t="s">
        <v>185</v>
      </c>
      <c r="E714" s="373" t="s">
        <v>116</v>
      </c>
      <c r="F714" s="373"/>
      <c r="G714" s="295" t="s">
        <v>127</v>
      </c>
      <c r="H714" s="298">
        <v>1</v>
      </c>
      <c r="I714" s="297">
        <v>27.97</v>
      </c>
      <c r="J714" s="297">
        <v>27.97</v>
      </c>
    </row>
    <row r="715" spans="1:10" ht="25.5" customHeight="1" x14ac:dyDescent="0.2">
      <c r="A715" s="300" t="s">
        <v>117</v>
      </c>
      <c r="B715" s="302" t="s">
        <v>304</v>
      </c>
      <c r="C715" s="300" t="s">
        <v>38</v>
      </c>
      <c r="D715" s="300" t="s">
        <v>305</v>
      </c>
      <c r="E715" s="368" t="s">
        <v>116</v>
      </c>
      <c r="F715" s="368"/>
      <c r="G715" s="301" t="s">
        <v>127</v>
      </c>
      <c r="H715" s="305">
        <v>1</v>
      </c>
      <c r="I715" s="303">
        <v>0.28999999999999998</v>
      </c>
      <c r="J715" s="303">
        <v>0.28999999999999998</v>
      </c>
    </row>
    <row r="716" spans="1:10" ht="14.25" customHeight="1" x14ac:dyDescent="0.2">
      <c r="A716" s="306" t="s">
        <v>130</v>
      </c>
      <c r="B716" s="308" t="s">
        <v>264</v>
      </c>
      <c r="C716" s="306" t="s">
        <v>38</v>
      </c>
      <c r="D716" s="306" t="s">
        <v>265</v>
      </c>
      <c r="E716" s="365" t="s">
        <v>225</v>
      </c>
      <c r="F716" s="365"/>
      <c r="G716" s="307" t="s">
        <v>127</v>
      </c>
      <c r="H716" s="311">
        <v>1</v>
      </c>
      <c r="I716" s="309">
        <v>3.84</v>
      </c>
      <c r="J716" s="309">
        <v>3.84</v>
      </c>
    </row>
    <row r="717" spans="1:10" x14ac:dyDescent="0.2">
      <c r="A717" s="306" t="s">
        <v>130</v>
      </c>
      <c r="B717" s="308" t="s">
        <v>306</v>
      </c>
      <c r="C717" s="306" t="s">
        <v>38</v>
      </c>
      <c r="D717" s="306" t="s">
        <v>307</v>
      </c>
      <c r="E717" s="365" t="s">
        <v>160</v>
      </c>
      <c r="F717" s="365"/>
      <c r="G717" s="307" t="s">
        <v>127</v>
      </c>
      <c r="H717" s="311">
        <v>1</v>
      </c>
      <c r="I717" s="309">
        <v>20.52</v>
      </c>
      <c r="J717" s="309">
        <v>20.52</v>
      </c>
    </row>
    <row r="718" spans="1:10" ht="26.25" customHeight="1" x14ac:dyDescent="0.2">
      <c r="A718" s="306" t="s">
        <v>130</v>
      </c>
      <c r="B718" s="308" t="s">
        <v>346</v>
      </c>
      <c r="C718" s="306" t="s">
        <v>38</v>
      </c>
      <c r="D718" s="306" t="s">
        <v>347</v>
      </c>
      <c r="E718" s="365" t="s">
        <v>148</v>
      </c>
      <c r="F718" s="365"/>
      <c r="G718" s="307" t="s">
        <v>127</v>
      </c>
      <c r="H718" s="311">
        <v>1</v>
      </c>
      <c r="I718" s="309">
        <v>0.94</v>
      </c>
      <c r="J718" s="309">
        <v>0.94</v>
      </c>
    </row>
    <row r="719" spans="1:10" ht="15" customHeight="1" x14ac:dyDescent="0.2">
      <c r="A719" s="306" t="s">
        <v>130</v>
      </c>
      <c r="B719" s="308" t="s">
        <v>223</v>
      </c>
      <c r="C719" s="306" t="s">
        <v>38</v>
      </c>
      <c r="D719" s="306" t="s">
        <v>224</v>
      </c>
      <c r="E719" s="365" t="s">
        <v>225</v>
      </c>
      <c r="F719" s="365"/>
      <c r="G719" s="307" t="s">
        <v>127</v>
      </c>
      <c r="H719" s="311">
        <v>1</v>
      </c>
      <c r="I719" s="309">
        <v>0.81</v>
      </c>
      <c r="J719" s="309">
        <v>0.81</v>
      </c>
    </row>
    <row r="720" spans="1:10" ht="25.5" customHeight="1" x14ac:dyDescent="0.2">
      <c r="A720" s="306" t="s">
        <v>130</v>
      </c>
      <c r="B720" s="308" t="s">
        <v>348</v>
      </c>
      <c r="C720" s="306" t="s">
        <v>38</v>
      </c>
      <c r="D720" s="306" t="s">
        <v>349</v>
      </c>
      <c r="E720" s="365" t="s">
        <v>148</v>
      </c>
      <c r="F720" s="365"/>
      <c r="G720" s="307" t="s">
        <v>127</v>
      </c>
      <c r="H720" s="311">
        <v>1</v>
      </c>
      <c r="I720" s="309">
        <v>0.32</v>
      </c>
      <c r="J720" s="309">
        <v>0.32</v>
      </c>
    </row>
    <row r="721" spans="1:10" ht="14.25" customHeight="1" x14ac:dyDescent="0.2">
      <c r="A721" s="306" t="s">
        <v>130</v>
      </c>
      <c r="B721" s="308" t="s">
        <v>228</v>
      </c>
      <c r="C721" s="306" t="s">
        <v>38</v>
      </c>
      <c r="D721" s="306" t="s">
        <v>229</v>
      </c>
      <c r="E721" s="365" t="s">
        <v>230</v>
      </c>
      <c r="F721" s="365"/>
      <c r="G721" s="307" t="s">
        <v>127</v>
      </c>
      <c r="H721" s="311">
        <v>1</v>
      </c>
      <c r="I721" s="309">
        <v>0.06</v>
      </c>
      <c r="J721" s="309">
        <v>0.06</v>
      </c>
    </row>
    <row r="722" spans="1:10" ht="14.25" customHeight="1" x14ac:dyDescent="0.2">
      <c r="A722" s="306" t="s">
        <v>130</v>
      </c>
      <c r="B722" s="308" t="s">
        <v>270</v>
      </c>
      <c r="C722" s="306" t="s">
        <v>38</v>
      </c>
      <c r="D722" s="306" t="s">
        <v>271</v>
      </c>
      <c r="E722" s="365" t="s">
        <v>272</v>
      </c>
      <c r="F722" s="365"/>
      <c r="G722" s="307" t="s">
        <v>127</v>
      </c>
      <c r="H722" s="311">
        <v>1</v>
      </c>
      <c r="I722" s="309">
        <v>1.19</v>
      </c>
      <c r="J722" s="309">
        <v>1.19</v>
      </c>
    </row>
    <row r="723" spans="1:10" x14ac:dyDescent="0.2">
      <c r="A723" s="317"/>
      <c r="B723" s="317"/>
      <c r="C723" s="317"/>
      <c r="D723" s="317"/>
      <c r="E723" s="317"/>
      <c r="F723" s="318"/>
      <c r="G723" s="317"/>
      <c r="H723" s="318"/>
      <c r="I723" s="317"/>
      <c r="J723" s="318"/>
    </row>
    <row r="724" spans="1:10" ht="15" customHeight="1" thickBot="1" x14ac:dyDescent="0.25">
      <c r="A724" s="317"/>
      <c r="B724" s="317"/>
      <c r="C724" s="317"/>
      <c r="D724" s="317"/>
      <c r="E724" s="317" t="s">
        <v>123</v>
      </c>
      <c r="F724" s="318">
        <v>6.62</v>
      </c>
      <c r="G724" s="317"/>
      <c r="H724" s="366" t="s">
        <v>124</v>
      </c>
      <c r="I724" s="366"/>
      <c r="J724" s="318">
        <v>34.590000000000003</v>
      </c>
    </row>
    <row r="725" spans="1:10" ht="15" customHeight="1" thickTop="1" x14ac:dyDescent="0.2">
      <c r="A725" s="299"/>
      <c r="B725" s="299"/>
      <c r="C725" s="299"/>
      <c r="D725" s="299"/>
      <c r="E725" s="299"/>
      <c r="F725" s="299"/>
      <c r="G725" s="299"/>
      <c r="H725" s="299"/>
      <c r="I725" s="299"/>
      <c r="J725" s="299"/>
    </row>
    <row r="726" spans="1:10" ht="14.25" customHeight="1" x14ac:dyDescent="0.2">
      <c r="A726" s="291"/>
      <c r="B726" s="293" t="s">
        <v>6</v>
      </c>
      <c r="C726" s="291" t="s">
        <v>7</v>
      </c>
      <c r="D726" s="291" t="s">
        <v>8</v>
      </c>
      <c r="E726" s="367" t="s">
        <v>114</v>
      </c>
      <c r="F726" s="367"/>
      <c r="G726" s="292" t="s">
        <v>9</v>
      </c>
      <c r="H726" s="293" t="s">
        <v>10</v>
      </c>
      <c r="I726" s="293" t="s">
        <v>11</v>
      </c>
      <c r="J726" s="293" t="s">
        <v>12</v>
      </c>
    </row>
    <row r="727" spans="1:10" ht="25.5" customHeight="1" x14ac:dyDescent="0.2">
      <c r="A727" s="294" t="s">
        <v>115</v>
      </c>
      <c r="B727" s="296" t="s">
        <v>136</v>
      </c>
      <c r="C727" s="294" t="s">
        <v>38</v>
      </c>
      <c r="D727" s="294" t="s">
        <v>137</v>
      </c>
      <c r="E727" s="373" t="s">
        <v>116</v>
      </c>
      <c r="F727" s="373"/>
      <c r="G727" s="295" t="s">
        <v>127</v>
      </c>
      <c r="H727" s="298">
        <v>1</v>
      </c>
      <c r="I727" s="297">
        <v>108.08</v>
      </c>
      <c r="J727" s="297">
        <v>108.08</v>
      </c>
    </row>
    <row r="728" spans="1:10" ht="25.5" customHeight="1" x14ac:dyDescent="0.2">
      <c r="A728" s="300" t="s">
        <v>117</v>
      </c>
      <c r="B728" s="302" t="s">
        <v>308</v>
      </c>
      <c r="C728" s="300" t="s">
        <v>38</v>
      </c>
      <c r="D728" s="300" t="s">
        <v>309</v>
      </c>
      <c r="E728" s="368" t="s">
        <v>116</v>
      </c>
      <c r="F728" s="368"/>
      <c r="G728" s="301" t="s">
        <v>127</v>
      </c>
      <c r="H728" s="305">
        <v>1</v>
      </c>
      <c r="I728" s="303">
        <v>1.26</v>
      </c>
      <c r="J728" s="303">
        <v>1.26</v>
      </c>
    </row>
    <row r="729" spans="1:10" x14ac:dyDescent="0.2">
      <c r="A729" s="306" t="s">
        <v>130</v>
      </c>
      <c r="B729" s="308" t="s">
        <v>310</v>
      </c>
      <c r="C729" s="306" t="s">
        <v>38</v>
      </c>
      <c r="D729" s="306" t="s">
        <v>311</v>
      </c>
      <c r="E729" s="365" t="s">
        <v>160</v>
      </c>
      <c r="F729" s="365"/>
      <c r="G729" s="307" t="s">
        <v>127</v>
      </c>
      <c r="H729" s="311">
        <v>1</v>
      </c>
      <c r="I729" s="309">
        <v>105.28</v>
      </c>
      <c r="J729" s="309">
        <v>105.28</v>
      </c>
    </row>
    <row r="730" spans="1:10" ht="26.25" customHeight="1" x14ac:dyDescent="0.2">
      <c r="A730" s="306" t="s">
        <v>130</v>
      </c>
      <c r="B730" s="308" t="s">
        <v>350</v>
      </c>
      <c r="C730" s="306" t="s">
        <v>38</v>
      </c>
      <c r="D730" s="306" t="s">
        <v>351</v>
      </c>
      <c r="E730" s="365" t="s">
        <v>148</v>
      </c>
      <c r="F730" s="365"/>
      <c r="G730" s="307" t="s">
        <v>127</v>
      </c>
      <c r="H730" s="311">
        <v>1</v>
      </c>
      <c r="I730" s="309">
        <v>0.66</v>
      </c>
      <c r="J730" s="309">
        <v>0.66</v>
      </c>
    </row>
    <row r="731" spans="1:10" ht="15" customHeight="1" x14ac:dyDescent="0.2">
      <c r="A731" s="306" t="s">
        <v>130</v>
      </c>
      <c r="B731" s="308" t="s">
        <v>223</v>
      </c>
      <c r="C731" s="306" t="s">
        <v>38</v>
      </c>
      <c r="D731" s="306" t="s">
        <v>224</v>
      </c>
      <c r="E731" s="365" t="s">
        <v>225</v>
      </c>
      <c r="F731" s="365"/>
      <c r="G731" s="307" t="s">
        <v>127</v>
      </c>
      <c r="H731" s="311">
        <v>1</v>
      </c>
      <c r="I731" s="309">
        <v>0.81</v>
      </c>
      <c r="J731" s="309">
        <v>0.81</v>
      </c>
    </row>
    <row r="732" spans="1:10" ht="25.5" customHeight="1" x14ac:dyDescent="0.2">
      <c r="A732" s="306" t="s">
        <v>130</v>
      </c>
      <c r="B732" s="308" t="s">
        <v>352</v>
      </c>
      <c r="C732" s="306" t="s">
        <v>38</v>
      </c>
      <c r="D732" s="306" t="s">
        <v>353</v>
      </c>
      <c r="E732" s="365" t="s">
        <v>148</v>
      </c>
      <c r="F732" s="365"/>
      <c r="G732" s="307" t="s">
        <v>127</v>
      </c>
      <c r="H732" s="311">
        <v>1</v>
      </c>
      <c r="I732" s="309">
        <v>0.01</v>
      </c>
      <c r="J732" s="309">
        <v>0.01</v>
      </c>
    </row>
    <row r="733" spans="1:10" ht="14.25" customHeight="1" x14ac:dyDescent="0.2">
      <c r="A733" s="306" t="s">
        <v>130</v>
      </c>
      <c r="B733" s="308" t="s">
        <v>228</v>
      </c>
      <c r="C733" s="306" t="s">
        <v>38</v>
      </c>
      <c r="D733" s="306" t="s">
        <v>229</v>
      </c>
      <c r="E733" s="365" t="s">
        <v>230</v>
      </c>
      <c r="F733" s="365"/>
      <c r="G733" s="307" t="s">
        <v>127</v>
      </c>
      <c r="H733" s="311">
        <v>1</v>
      </c>
      <c r="I733" s="309">
        <v>0.06</v>
      </c>
      <c r="J733" s="309">
        <v>0.06</v>
      </c>
    </row>
    <row r="734" spans="1:10" ht="14.25" customHeight="1" x14ac:dyDescent="0.2">
      <c r="A734" s="317"/>
      <c r="B734" s="317"/>
      <c r="C734" s="317"/>
      <c r="D734" s="317"/>
      <c r="E734" s="317"/>
      <c r="F734" s="318"/>
      <c r="G734" s="317"/>
      <c r="H734" s="318"/>
      <c r="I734" s="317"/>
      <c r="J734" s="318"/>
    </row>
    <row r="735" spans="1:10" ht="14.25" customHeight="1" thickBot="1" x14ac:dyDescent="0.25">
      <c r="A735" s="317"/>
      <c r="B735" s="317"/>
      <c r="C735" s="317"/>
      <c r="D735" s="317"/>
      <c r="E735" s="317" t="s">
        <v>123</v>
      </c>
      <c r="F735" s="318">
        <v>25.61</v>
      </c>
      <c r="G735" s="317"/>
      <c r="H735" s="366" t="s">
        <v>124</v>
      </c>
      <c r="I735" s="366"/>
      <c r="J735" s="318">
        <v>133.69</v>
      </c>
    </row>
    <row r="736" spans="1:10" ht="14.25" customHeight="1" thickTop="1" x14ac:dyDescent="0.2">
      <c r="A736" s="299"/>
      <c r="B736" s="299"/>
      <c r="C736" s="299"/>
      <c r="D736" s="299"/>
      <c r="E736" s="299"/>
      <c r="F736" s="299"/>
      <c r="G736" s="299"/>
      <c r="H736" s="299"/>
      <c r="I736" s="299"/>
      <c r="J736" s="299"/>
    </row>
    <row r="737" spans="1:10" ht="14.25" customHeight="1" x14ac:dyDescent="0.2">
      <c r="A737" s="291"/>
      <c r="B737" s="293" t="s">
        <v>6</v>
      </c>
      <c r="C737" s="291" t="s">
        <v>7</v>
      </c>
      <c r="D737" s="291" t="s">
        <v>8</v>
      </c>
      <c r="E737" s="367" t="s">
        <v>114</v>
      </c>
      <c r="F737" s="367"/>
      <c r="G737" s="292" t="s">
        <v>9</v>
      </c>
      <c r="H737" s="293" t="s">
        <v>10</v>
      </c>
      <c r="I737" s="293" t="s">
        <v>11</v>
      </c>
      <c r="J737" s="293" t="s">
        <v>12</v>
      </c>
    </row>
    <row r="738" spans="1:10" ht="25.5" customHeight="1" x14ac:dyDescent="0.2">
      <c r="A738" s="294" t="s">
        <v>115</v>
      </c>
      <c r="B738" s="296" t="s">
        <v>170</v>
      </c>
      <c r="C738" s="294" t="s">
        <v>38</v>
      </c>
      <c r="D738" s="294" t="s">
        <v>171</v>
      </c>
      <c r="E738" s="373" t="s">
        <v>116</v>
      </c>
      <c r="F738" s="373"/>
      <c r="G738" s="295" t="s">
        <v>127</v>
      </c>
      <c r="H738" s="298">
        <v>1</v>
      </c>
      <c r="I738" s="297">
        <v>167.29</v>
      </c>
      <c r="J738" s="297">
        <v>167.29</v>
      </c>
    </row>
    <row r="739" spans="1:10" ht="25.5" customHeight="1" x14ac:dyDescent="0.2">
      <c r="A739" s="300" t="s">
        <v>117</v>
      </c>
      <c r="B739" s="302" t="s">
        <v>312</v>
      </c>
      <c r="C739" s="300" t="s">
        <v>38</v>
      </c>
      <c r="D739" s="300" t="s">
        <v>313</v>
      </c>
      <c r="E739" s="368" t="s">
        <v>116</v>
      </c>
      <c r="F739" s="368"/>
      <c r="G739" s="301" t="s">
        <v>127</v>
      </c>
      <c r="H739" s="305">
        <v>1</v>
      </c>
      <c r="I739" s="303">
        <v>1.96</v>
      </c>
      <c r="J739" s="303">
        <v>1.96</v>
      </c>
    </row>
    <row r="740" spans="1:10" ht="14.25" customHeight="1" x14ac:dyDescent="0.2">
      <c r="A740" s="306" t="s">
        <v>130</v>
      </c>
      <c r="B740" s="308" t="s">
        <v>314</v>
      </c>
      <c r="C740" s="306" t="s">
        <v>38</v>
      </c>
      <c r="D740" s="306" t="s">
        <v>315</v>
      </c>
      <c r="E740" s="365" t="s">
        <v>160</v>
      </c>
      <c r="F740" s="365"/>
      <c r="G740" s="307" t="s">
        <v>127</v>
      </c>
      <c r="H740" s="311">
        <v>1</v>
      </c>
      <c r="I740" s="309">
        <v>163.79</v>
      </c>
      <c r="J740" s="309">
        <v>163.79</v>
      </c>
    </row>
    <row r="741" spans="1:10" ht="25.5" customHeight="1" x14ac:dyDescent="0.2">
      <c r="A741" s="306" t="s">
        <v>130</v>
      </c>
      <c r="B741" s="308" t="s">
        <v>350</v>
      </c>
      <c r="C741" s="306" t="s">
        <v>38</v>
      </c>
      <c r="D741" s="306" t="s">
        <v>351</v>
      </c>
      <c r="E741" s="365" t="s">
        <v>148</v>
      </c>
      <c r="F741" s="365"/>
      <c r="G741" s="307" t="s">
        <v>127</v>
      </c>
      <c r="H741" s="311">
        <v>1</v>
      </c>
      <c r="I741" s="309">
        <v>0.66</v>
      </c>
      <c r="J741" s="309">
        <v>0.66</v>
      </c>
    </row>
    <row r="742" spans="1:10" ht="14.25" customHeight="1" x14ac:dyDescent="0.2">
      <c r="A742" s="306" t="s">
        <v>130</v>
      </c>
      <c r="B742" s="308" t="s">
        <v>223</v>
      </c>
      <c r="C742" s="306" t="s">
        <v>38</v>
      </c>
      <c r="D742" s="306" t="s">
        <v>224</v>
      </c>
      <c r="E742" s="365" t="s">
        <v>225</v>
      </c>
      <c r="F742" s="365"/>
      <c r="G742" s="307" t="s">
        <v>127</v>
      </c>
      <c r="H742" s="311">
        <v>1</v>
      </c>
      <c r="I742" s="309">
        <v>0.81</v>
      </c>
      <c r="J742" s="309">
        <v>0.81</v>
      </c>
    </row>
    <row r="743" spans="1:10" ht="25.5" customHeight="1" x14ac:dyDescent="0.2">
      <c r="A743" s="306" t="s">
        <v>130</v>
      </c>
      <c r="B743" s="308" t="s">
        <v>352</v>
      </c>
      <c r="C743" s="306" t="s">
        <v>38</v>
      </c>
      <c r="D743" s="306" t="s">
        <v>353</v>
      </c>
      <c r="E743" s="365" t="s">
        <v>148</v>
      </c>
      <c r="F743" s="365"/>
      <c r="G743" s="307" t="s">
        <v>127</v>
      </c>
      <c r="H743" s="311">
        <v>1</v>
      </c>
      <c r="I743" s="309">
        <v>0.01</v>
      </c>
      <c r="J743" s="309">
        <v>0.01</v>
      </c>
    </row>
    <row r="744" spans="1:10" ht="14.25" customHeight="1" x14ac:dyDescent="0.2">
      <c r="A744" s="306" t="s">
        <v>130</v>
      </c>
      <c r="B744" s="308" t="s">
        <v>228</v>
      </c>
      <c r="C744" s="306" t="s">
        <v>38</v>
      </c>
      <c r="D744" s="306" t="s">
        <v>229</v>
      </c>
      <c r="E744" s="365" t="s">
        <v>230</v>
      </c>
      <c r="F744" s="365"/>
      <c r="G744" s="307" t="s">
        <v>127</v>
      </c>
      <c r="H744" s="311">
        <v>1</v>
      </c>
      <c r="I744" s="309">
        <v>0.06</v>
      </c>
      <c r="J744" s="309">
        <v>0.06</v>
      </c>
    </row>
    <row r="745" spans="1:10" ht="14.25" customHeight="1" x14ac:dyDescent="0.2">
      <c r="A745" s="317"/>
      <c r="B745" s="317"/>
      <c r="C745" s="317"/>
      <c r="D745" s="317"/>
      <c r="E745" s="317"/>
      <c r="F745" s="318"/>
      <c r="G745" s="317"/>
      <c r="H745" s="318"/>
      <c r="I745" s="317"/>
      <c r="J745" s="318"/>
    </row>
    <row r="746" spans="1:10" ht="14.25" customHeight="1" thickBot="1" x14ac:dyDescent="0.25">
      <c r="A746" s="317"/>
      <c r="B746" s="317"/>
      <c r="C746" s="317"/>
      <c r="D746" s="317"/>
      <c r="E746" s="317" t="s">
        <v>123</v>
      </c>
      <c r="F746" s="318">
        <v>39.64</v>
      </c>
      <c r="G746" s="317"/>
      <c r="H746" s="366" t="s">
        <v>124</v>
      </c>
      <c r="I746" s="366"/>
      <c r="J746" s="318">
        <v>206.93</v>
      </c>
    </row>
    <row r="747" spans="1:10" ht="14.25" customHeight="1" thickTop="1" x14ac:dyDescent="0.2">
      <c r="A747" s="299"/>
      <c r="B747" s="299"/>
      <c r="C747" s="299"/>
      <c r="D747" s="299"/>
      <c r="E747" s="299"/>
      <c r="F747" s="299"/>
      <c r="G747" s="299"/>
      <c r="H747" s="299"/>
      <c r="I747" s="299"/>
      <c r="J747" s="299"/>
    </row>
    <row r="748" spans="1:10" ht="14.25" customHeight="1" x14ac:dyDescent="0.2">
      <c r="A748" s="291"/>
      <c r="B748" s="293" t="s">
        <v>6</v>
      </c>
      <c r="C748" s="291" t="s">
        <v>7</v>
      </c>
      <c r="D748" s="291" t="s">
        <v>8</v>
      </c>
      <c r="E748" s="367" t="s">
        <v>114</v>
      </c>
      <c r="F748" s="367"/>
      <c r="G748" s="292" t="s">
        <v>9</v>
      </c>
      <c r="H748" s="293" t="s">
        <v>10</v>
      </c>
      <c r="I748" s="293" t="s">
        <v>11</v>
      </c>
      <c r="J748" s="293" t="s">
        <v>12</v>
      </c>
    </row>
    <row r="749" spans="1:10" ht="14.25" customHeight="1" x14ac:dyDescent="0.2">
      <c r="A749" s="294" t="s">
        <v>115</v>
      </c>
      <c r="B749" s="296" t="s">
        <v>241</v>
      </c>
      <c r="C749" s="294" t="s">
        <v>19</v>
      </c>
      <c r="D749" s="294" t="s">
        <v>242</v>
      </c>
      <c r="E749" s="373" t="s">
        <v>240</v>
      </c>
      <c r="F749" s="373"/>
      <c r="G749" s="295" t="s">
        <v>149</v>
      </c>
      <c r="H749" s="298">
        <v>1</v>
      </c>
      <c r="I749" s="297">
        <v>3.56</v>
      </c>
      <c r="J749" s="297">
        <v>3.56</v>
      </c>
    </row>
    <row r="750" spans="1:10" ht="14.25" customHeight="1" x14ac:dyDescent="0.2">
      <c r="A750" s="306" t="s">
        <v>130</v>
      </c>
      <c r="B750" s="308" t="s">
        <v>354</v>
      </c>
      <c r="C750" s="306" t="s">
        <v>19</v>
      </c>
      <c r="D750" s="306" t="s">
        <v>355</v>
      </c>
      <c r="E750" s="365" t="s">
        <v>61</v>
      </c>
      <c r="F750" s="365"/>
      <c r="G750" s="307" t="s">
        <v>191</v>
      </c>
      <c r="H750" s="311">
        <v>0.1018</v>
      </c>
      <c r="I750" s="309">
        <v>14</v>
      </c>
      <c r="J750" s="309">
        <v>1.42</v>
      </c>
    </row>
    <row r="751" spans="1:10" ht="14.25" customHeight="1" x14ac:dyDescent="0.2">
      <c r="A751" s="306" t="s">
        <v>130</v>
      </c>
      <c r="B751" s="308" t="s">
        <v>356</v>
      </c>
      <c r="C751" s="306" t="s">
        <v>19</v>
      </c>
      <c r="D751" s="306" t="s">
        <v>357</v>
      </c>
      <c r="E751" s="365" t="s">
        <v>61</v>
      </c>
      <c r="F751" s="365"/>
      <c r="G751" s="307" t="s">
        <v>191</v>
      </c>
      <c r="H751" s="311">
        <v>1.5E-3</v>
      </c>
      <c r="I751" s="309">
        <v>177.63</v>
      </c>
      <c r="J751" s="309">
        <v>0.26</v>
      </c>
    </row>
    <row r="752" spans="1:10" ht="14.25" customHeight="1" x14ac:dyDescent="0.2">
      <c r="A752" s="306" t="s">
        <v>130</v>
      </c>
      <c r="B752" s="308" t="s">
        <v>358</v>
      </c>
      <c r="C752" s="306" t="s">
        <v>19</v>
      </c>
      <c r="D752" s="306" t="s">
        <v>359</v>
      </c>
      <c r="E752" s="365" t="s">
        <v>61</v>
      </c>
      <c r="F752" s="365"/>
      <c r="G752" s="307" t="s">
        <v>360</v>
      </c>
      <c r="H752" s="311">
        <v>8.0000000000000004E-4</v>
      </c>
      <c r="I752" s="309">
        <v>6.35</v>
      </c>
      <c r="J752" s="309">
        <v>0</v>
      </c>
    </row>
    <row r="753" spans="1:10" ht="14.25" customHeight="1" x14ac:dyDescent="0.2">
      <c r="A753" s="306" t="s">
        <v>130</v>
      </c>
      <c r="B753" s="308" t="s">
        <v>361</v>
      </c>
      <c r="C753" s="306" t="s">
        <v>19</v>
      </c>
      <c r="D753" s="306" t="s">
        <v>362</v>
      </c>
      <c r="E753" s="365" t="s">
        <v>61</v>
      </c>
      <c r="F753" s="365"/>
      <c r="G753" s="307" t="s">
        <v>191</v>
      </c>
      <c r="H753" s="311">
        <v>6.54E-2</v>
      </c>
      <c r="I753" s="309">
        <v>4.5</v>
      </c>
      <c r="J753" s="309">
        <v>0.28999999999999998</v>
      </c>
    </row>
    <row r="754" spans="1:10" ht="14.25" customHeight="1" x14ac:dyDescent="0.2">
      <c r="A754" s="306" t="s">
        <v>130</v>
      </c>
      <c r="B754" s="308" t="s">
        <v>363</v>
      </c>
      <c r="C754" s="306" t="s">
        <v>19</v>
      </c>
      <c r="D754" s="306" t="s">
        <v>364</v>
      </c>
      <c r="E754" s="365" t="s">
        <v>61</v>
      </c>
      <c r="F754" s="365"/>
      <c r="G754" s="307" t="s">
        <v>191</v>
      </c>
      <c r="H754" s="311">
        <v>5.0000000000000001E-4</v>
      </c>
      <c r="I754" s="309">
        <v>10.8</v>
      </c>
      <c r="J754" s="309">
        <v>0</v>
      </c>
    </row>
    <row r="755" spans="1:10" ht="14.25" customHeight="1" x14ac:dyDescent="0.2">
      <c r="A755" s="306" t="s">
        <v>130</v>
      </c>
      <c r="B755" s="308" t="s">
        <v>365</v>
      </c>
      <c r="C755" s="306" t="s">
        <v>19</v>
      </c>
      <c r="D755" s="306" t="s">
        <v>366</v>
      </c>
      <c r="E755" s="365" t="s">
        <v>61</v>
      </c>
      <c r="F755" s="365"/>
      <c r="G755" s="307" t="s">
        <v>191</v>
      </c>
      <c r="H755" s="311">
        <v>4.0000000000000002E-4</v>
      </c>
      <c r="I755" s="309">
        <v>18.8</v>
      </c>
      <c r="J755" s="309">
        <v>0</v>
      </c>
    </row>
    <row r="756" spans="1:10" ht="14.25" customHeight="1" x14ac:dyDescent="0.2">
      <c r="A756" s="306" t="s">
        <v>130</v>
      </c>
      <c r="B756" s="308" t="s">
        <v>367</v>
      </c>
      <c r="C756" s="306" t="s">
        <v>19</v>
      </c>
      <c r="D756" s="306" t="s">
        <v>368</v>
      </c>
      <c r="E756" s="365" t="s">
        <v>61</v>
      </c>
      <c r="F756" s="365"/>
      <c r="G756" s="307" t="s">
        <v>191</v>
      </c>
      <c r="H756" s="311">
        <v>2.0000000000000001E-4</v>
      </c>
      <c r="I756" s="309">
        <v>40.799999999999997</v>
      </c>
      <c r="J756" s="309">
        <v>0</v>
      </c>
    </row>
    <row r="757" spans="1:10" ht="14.25" customHeight="1" x14ac:dyDescent="0.2">
      <c r="A757" s="306" t="s">
        <v>130</v>
      </c>
      <c r="B757" s="308" t="s">
        <v>369</v>
      </c>
      <c r="C757" s="306" t="s">
        <v>19</v>
      </c>
      <c r="D757" s="306" t="s">
        <v>370</v>
      </c>
      <c r="E757" s="365" t="s">
        <v>272</v>
      </c>
      <c r="F757" s="365"/>
      <c r="G757" s="307" t="s">
        <v>191</v>
      </c>
      <c r="H757" s="311">
        <v>4.4999999999999997E-3</v>
      </c>
      <c r="I757" s="309">
        <v>12.54</v>
      </c>
      <c r="J757" s="309">
        <v>0.05</v>
      </c>
    </row>
    <row r="758" spans="1:10" ht="14.25" customHeight="1" x14ac:dyDescent="0.2">
      <c r="A758" s="306" t="s">
        <v>130</v>
      </c>
      <c r="B758" s="308" t="s">
        <v>373</v>
      </c>
      <c r="C758" s="306" t="s">
        <v>19</v>
      </c>
      <c r="D758" s="306" t="s">
        <v>374</v>
      </c>
      <c r="E758" s="365" t="s">
        <v>272</v>
      </c>
      <c r="F758" s="365"/>
      <c r="G758" s="307" t="s">
        <v>375</v>
      </c>
      <c r="H758" s="311">
        <v>4.0000000000000002E-4</v>
      </c>
      <c r="I758" s="309">
        <v>300</v>
      </c>
      <c r="J758" s="309">
        <v>0.12</v>
      </c>
    </row>
    <row r="759" spans="1:10" x14ac:dyDescent="0.2">
      <c r="A759" s="306" t="s">
        <v>130</v>
      </c>
      <c r="B759" s="308" t="s">
        <v>376</v>
      </c>
      <c r="C759" s="306" t="s">
        <v>19</v>
      </c>
      <c r="D759" s="306" t="s">
        <v>377</v>
      </c>
      <c r="E759" s="365" t="s">
        <v>61</v>
      </c>
      <c r="F759" s="365"/>
      <c r="G759" s="307" t="s">
        <v>191</v>
      </c>
      <c r="H759" s="311">
        <v>4.4999999999999997E-3</v>
      </c>
      <c r="I759" s="309">
        <v>5</v>
      </c>
      <c r="J759" s="309">
        <v>0.02</v>
      </c>
    </row>
    <row r="760" spans="1:10" ht="15" customHeight="1" x14ac:dyDescent="0.2">
      <c r="A760" s="306" t="s">
        <v>130</v>
      </c>
      <c r="B760" s="308" t="s">
        <v>384</v>
      </c>
      <c r="C760" s="306" t="s">
        <v>19</v>
      </c>
      <c r="D760" s="306" t="s">
        <v>385</v>
      </c>
      <c r="E760" s="365" t="s">
        <v>61</v>
      </c>
      <c r="F760" s="365"/>
      <c r="G760" s="307" t="s">
        <v>191</v>
      </c>
      <c r="H760" s="311">
        <v>1E-4</v>
      </c>
      <c r="I760" s="309">
        <v>22.98</v>
      </c>
      <c r="J760" s="309">
        <v>0</v>
      </c>
    </row>
    <row r="761" spans="1:10" ht="15" customHeight="1" x14ac:dyDescent="0.2">
      <c r="A761" s="306" t="s">
        <v>130</v>
      </c>
      <c r="B761" s="308" t="s">
        <v>371</v>
      </c>
      <c r="C761" s="306" t="s">
        <v>19</v>
      </c>
      <c r="D761" s="306" t="s">
        <v>372</v>
      </c>
      <c r="E761" s="365" t="s">
        <v>61</v>
      </c>
      <c r="F761" s="365"/>
      <c r="G761" s="307" t="s">
        <v>191</v>
      </c>
      <c r="H761" s="311">
        <v>4.4999999999999997E-3</v>
      </c>
      <c r="I761" s="309">
        <v>165</v>
      </c>
      <c r="J761" s="309">
        <v>0.74</v>
      </c>
    </row>
    <row r="762" spans="1:10" ht="14.25" customHeight="1" x14ac:dyDescent="0.2">
      <c r="A762" s="306" t="s">
        <v>130</v>
      </c>
      <c r="B762" s="308" t="s">
        <v>380</v>
      </c>
      <c r="C762" s="306" t="s">
        <v>19</v>
      </c>
      <c r="D762" s="306" t="s">
        <v>381</v>
      </c>
      <c r="E762" s="365" t="s">
        <v>61</v>
      </c>
      <c r="F762" s="365"/>
      <c r="G762" s="307" t="s">
        <v>191</v>
      </c>
      <c r="H762" s="311">
        <v>2.0000000000000001E-4</v>
      </c>
      <c r="I762" s="309">
        <v>16.5</v>
      </c>
      <c r="J762" s="309">
        <v>0</v>
      </c>
    </row>
    <row r="763" spans="1:10" ht="14.25" customHeight="1" x14ac:dyDescent="0.2">
      <c r="A763" s="306" t="s">
        <v>130</v>
      </c>
      <c r="B763" s="308" t="s">
        <v>382</v>
      </c>
      <c r="C763" s="306" t="s">
        <v>19</v>
      </c>
      <c r="D763" s="306" t="s">
        <v>383</v>
      </c>
      <c r="E763" s="365" t="s">
        <v>272</v>
      </c>
      <c r="F763" s="365"/>
      <c r="G763" s="307" t="s">
        <v>191</v>
      </c>
      <c r="H763" s="311">
        <v>0.1018</v>
      </c>
      <c r="I763" s="309">
        <v>5</v>
      </c>
      <c r="J763" s="309">
        <v>0.5</v>
      </c>
    </row>
    <row r="764" spans="1:10" ht="14.25" customHeight="1" x14ac:dyDescent="0.2">
      <c r="A764" s="306" t="s">
        <v>130</v>
      </c>
      <c r="B764" s="308" t="s">
        <v>378</v>
      </c>
      <c r="C764" s="306" t="s">
        <v>19</v>
      </c>
      <c r="D764" s="306" t="s">
        <v>379</v>
      </c>
      <c r="E764" s="365" t="s">
        <v>61</v>
      </c>
      <c r="F764" s="365"/>
      <c r="G764" s="307" t="s">
        <v>191</v>
      </c>
      <c r="H764" s="311">
        <v>1.8E-3</v>
      </c>
      <c r="I764" s="309">
        <v>35.9</v>
      </c>
      <c r="J764" s="309">
        <v>0.06</v>
      </c>
    </row>
    <row r="765" spans="1:10" ht="14.25" customHeight="1" x14ac:dyDescent="0.2">
      <c r="A765" s="306" t="s">
        <v>130</v>
      </c>
      <c r="B765" s="308" t="s">
        <v>395</v>
      </c>
      <c r="C765" s="306" t="s">
        <v>19</v>
      </c>
      <c r="D765" s="306" t="s">
        <v>396</v>
      </c>
      <c r="E765" s="365" t="s">
        <v>61</v>
      </c>
      <c r="F765" s="365"/>
      <c r="G765" s="307" t="s">
        <v>191</v>
      </c>
      <c r="H765" s="311">
        <v>6.9999999999999999E-4</v>
      </c>
      <c r="I765" s="309">
        <v>11.26</v>
      </c>
      <c r="J765" s="309">
        <v>0</v>
      </c>
    </row>
    <row r="766" spans="1:10" ht="14.25" customHeight="1" x14ac:dyDescent="0.2">
      <c r="A766" s="306" t="s">
        <v>130</v>
      </c>
      <c r="B766" s="308" t="s">
        <v>393</v>
      </c>
      <c r="C766" s="306" t="s">
        <v>19</v>
      </c>
      <c r="D766" s="306" t="s">
        <v>394</v>
      </c>
      <c r="E766" s="365" t="s">
        <v>61</v>
      </c>
      <c r="F766" s="365"/>
      <c r="G766" s="307" t="s">
        <v>191</v>
      </c>
      <c r="H766" s="311">
        <v>4.0000000000000002E-4</v>
      </c>
      <c r="I766" s="309">
        <v>11.5</v>
      </c>
      <c r="J766" s="309">
        <v>0</v>
      </c>
    </row>
    <row r="767" spans="1:10" ht="14.25" customHeight="1" x14ac:dyDescent="0.2">
      <c r="A767" s="306" t="s">
        <v>130</v>
      </c>
      <c r="B767" s="308" t="s">
        <v>388</v>
      </c>
      <c r="C767" s="306" t="s">
        <v>19</v>
      </c>
      <c r="D767" s="306" t="s">
        <v>389</v>
      </c>
      <c r="E767" s="365" t="s">
        <v>61</v>
      </c>
      <c r="F767" s="365"/>
      <c r="G767" s="307" t="s">
        <v>191</v>
      </c>
      <c r="H767" s="311">
        <v>1E-4</v>
      </c>
      <c r="I767" s="309">
        <v>27.5</v>
      </c>
      <c r="J767" s="309">
        <v>0</v>
      </c>
    </row>
    <row r="768" spans="1:10" ht="14.25" customHeight="1" x14ac:dyDescent="0.2">
      <c r="A768" s="306" t="s">
        <v>130</v>
      </c>
      <c r="B768" s="308" t="s">
        <v>386</v>
      </c>
      <c r="C768" s="306" t="s">
        <v>19</v>
      </c>
      <c r="D768" s="306" t="s">
        <v>387</v>
      </c>
      <c r="E768" s="365" t="s">
        <v>61</v>
      </c>
      <c r="F768" s="365"/>
      <c r="G768" s="307" t="s">
        <v>191</v>
      </c>
      <c r="H768" s="311">
        <v>1E-4</v>
      </c>
      <c r="I768" s="309">
        <v>327.8</v>
      </c>
      <c r="J768" s="309">
        <v>0.03</v>
      </c>
    </row>
    <row r="769" spans="1:10" ht="14.25" customHeight="1" x14ac:dyDescent="0.2">
      <c r="A769" s="306" t="s">
        <v>130</v>
      </c>
      <c r="B769" s="308" t="s">
        <v>397</v>
      </c>
      <c r="C769" s="306" t="s">
        <v>19</v>
      </c>
      <c r="D769" s="306" t="s">
        <v>398</v>
      </c>
      <c r="E769" s="365" t="s">
        <v>61</v>
      </c>
      <c r="F769" s="365"/>
      <c r="G769" s="307" t="s">
        <v>191</v>
      </c>
      <c r="H769" s="311">
        <v>2.0000000000000001E-4</v>
      </c>
      <c r="I769" s="309">
        <v>13.52</v>
      </c>
      <c r="J769" s="309">
        <v>0</v>
      </c>
    </row>
    <row r="770" spans="1:10" ht="14.25" customHeight="1" x14ac:dyDescent="0.2">
      <c r="A770" s="306" t="s">
        <v>130</v>
      </c>
      <c r="B770" s="308" t="s">
        <v>390</v>
      </c>
      <c r="C770" s="306" t="s">
        <v>19</v>
      </c>
      <c r="D770" s="306" t="s">
        <v>391</v>
      </c>
      <c r="E770" s="365" t="s">
        <v>61</v>
      </c>
      <c r="F770" s="365"/>
      <c r="G770" s="307" t="s">
        <v>392</v>
      </c>
      <c r="H770" s="311">
        <v>6.9999999999999999E-4</v>
      </c>
      <c r="I770" s="309">
        <v>10.220000000000001</v>
      </c>
      <c r="J770" s="309">
        <v>0</v>
      </c>
    </row>
    <row r="771" spans="1:10" ht="25.5" customHeight="1" x14ac:dyDescent="0.2">
      <c r="A771" s="306" t="s">
        <v>130</v>
      </c>
      <c r="B771" s="308" t="s">
        <v>399</v>
      </c>
      <c r="C771" s="306" t="s">
        <v>38</v>
      </c>
      <c r="D771" s="306" t="s">
        <v>400</v>
      </c>
      <c r="E771" s="365" t="s">
        <v>61</v>
      </c>
      <c r="F771" s="365"/>
      <c r="G771" s="307" t="s">
        <v>401</v>
      </c>
      <c r="H771" s="311">
        <v>8.0000000000000004E-4</v>
      </c>
      <c r="I771" s="309">
        <v>64.8</v>
      </c>
      <c r="J771" s="309">
        <v>0.05</v>
      </c>
    </row>
    <row r="772" spans="1:10" ht="25.5" customHeight="1" x14ac:dyDescent="0.2">
      <c r="A772" s="306" t="s">
        <v>130</v>
      </c>
      <c r="B772" s="308" t="s">
        <v>402</v>
      </c>
      <c r="C772" s="306" t="s">
        <v>38</v>
      </c>
      <c r="D772" s="306" t="s">
        <v>403</v>
      </c>
      <c r="E772" s="365" t="s">
        <v>61</v>
      </c>
      <c r="F772" s="365"/>
      <c r="G772" s="307" t="s">
        <v>194</v>
      </c>
      <c r="H772" s="311">
        <v>2.0000000000000001E-4</v>
      </c>
      <c r="I772" s="309">
        <v>17.55</v>
      </c>
      <c r="J772" s="309">
        <v>0</v>
      </c>
    </row>
    <row r="773" spans="1:10" ht="25.5" customHeight="1" x14ac:dyDescent="0.2">
      <c r="A773" s="306" t="s">
        <v>130</v>
      </c>
      <c r="B773" s="308" t="s">
        <v>404</v>
      </c>
      <c r="C773" s="306" t="s">
        <v>38</v>
      </c>
      <c r="D773" s="306" t="s">
        <v>405</v>
      </c>
      <c r="E773" s="365" t="s">
        <v>61</v>
      </c>
      <c r="F773" s="365"/>
      <c r="G773" s="307" t="s">
        <v>194</v>
      </c>
      <c r="H773" s="311">
        <v>5.9999999999999995E-4</v>
      </c>
      <c r="I773" s="309">
        <v>13.5</v>
      </c>
      <c r="J773" s="309">
        <v>0</v>
      </c>
    </row>
    <row r="774" spans="1:10" ht="14.25" customHeight="1" x14ac:dyDescent="0.2">
      <c r="A774" s="306" t="s">
        <v>130</v>
      </c>
      <c r="B774" s="308" t="s">
        <v>406</v>
      </c>
      <c r="C774" s="306" t="s">
        <v>38</v>
      </c>
      <c r="D774" s="306" t="s">
        <v>407</v>
      </c>
      <c r="E774" s="365" t="s">
        <v>148</v>
      </c>
      <c r="F774" s="365"/>
      <c r="G774" s="307" t="s">
        <v>401</v>
      </c>
      <c r="H774" s="311">
        <v>2.3E-3</v>
      </c>
      <c r="I774" s="309">
        <v>12.15</v>
      </c>
      <c r="J774" s="309">
        <v>0.02</v>
      </c>
    </row>
    <row r="775" spans="1:10" ht="14.25" customHeight="1" x14ac:dyDescent="0.2">
      <c r="A775" s="317"/>
      <c r="B775" s="317"/>
      <c r="C775" s="317"/>
      <c r="D775" s="317"/>
      <c r="E775" s="317"/>
      <c r="F775" s="318"/>
      <c r="G775" s="317"/>
      <c r="H775" s="318"/>
      <c r="I775" s="317"/>
      <c r="J775" s="318"/>
    </row>
    <row r="776" spans="1:10" ht="14.25" customHeight="1" thickBot="1" x14ac:dyDescent="0.25">
      <c r="A776" s="317"/>
      <c r="B776" s="317"/>
      <c r="C776" s="317"/>
      <c r="D776" s="317"/>
      <c r="E776" s="317" t="s">
        <v>123</v>
      </c>
      <c r="F776" s="318">
        <v>0.84</v>
      </c>
      <c r="G776" s="317"/>
      <c r="H776" s="366" t="s">
        <v>124</v>
      </c>
      <c r="I776" s="366"/>
      <c r="J776" s="318">
        <v>4.4000000000000004</v>
      </c>
    </row>
    <row r="777" spans="1:10" ht="14.25" customHeight="1" thickTop="1" x14ac:dyDescent="0.2">
      <c r="A777" s="299"/>
      <c r="B777" s="299"/>
      <c r="C777" s="299"/>
      <c r="D777" s="299"/>
      <c r="E777" s="299"/>
      <c r="F777" s="299"/>
      <c r="G777" s="299"/>
      <c r="H777" s="299"/>
      <c r="I777" s="299"/>
      <c r="J777" s="299"/>
    </row>
    <row r="778" spans="1:10" ht="14.25" customHeight="1" x14ac:dyDescent="0.2">
      <c r="A778" s="291"/>
      <c r="B778" s="293" t="s">
        <v>6</v>
      </c>
      <c r="C778" s="291" t="s">
        <v>7</v>
      </c>
      <c r="D778" s="291" t="s">
        <v>8</v>
      </c>
      <c r="E778" s="367" t="s">
        <v>114</v>
      </c>
      <c r="F778" s="367"/>
      <c r="G778" s="292" t="s">
        <v>9</v>
      </c>
      <c r="H778" s="293" t="s">
        <v>10</v>
      </c>
      <c r="I778" s="293" t="s">
        <v>11</v>
      </c>
      <c r="J778" s="293" t="s">
        <v>12</v>
      </c>
    </row>
    <row r="779" spans="1:10" ht="14.25" customHeight="1" x14ac:dyDescent="0.2">
      <c r="A779" s="294" t="s">
        <v>115</v>
      </c>
      <c r="B779" s="296" t="s">
        <v>238</v>
      </c>
      <c r="C779" s="294" t="s">
        <v>19</v>
      </c>
      <c r="D779" s="294" t="s">
        <v>239</v>
      </c>
      <c r="E779" s="373" t="s">
        <v>240</v>
      </c>
      <c r="F779" s="373"/>
      <c r="G779" s="295" t="s">
        <v>149</v>
      </c>
      <c r="H779" s="298">
        <v>1</v>
      </c>
      <c r="I779" s="297">
        <v>3.7</v>
      </c>
      <c r="J779" s="297">
        <v>3.7</v>
      </c>
    </row>
    <row r="780" spans="1:10" ht="14.25" customHeight="1" x14ac:dyDescent="0.2">
      <c r="A780" s="306" t="s">
        <v>130</v>
      </c>
      <c r="B780" s="308" t="s">
        <v>356</v>
      </c>
      <c r="C780" s="306" t="s">
        <v>19</v>
      </c>
      <c r="D780" s="306" t="s">
        <v>357</v>
      </c>
      <c r="E780" s="365" t="s">
        <v>61</v>
      </c>
      <c r="F780" s="365"/>
      <c r="G780" s="307" t="s">
        <v>191</v>
      </c>
      <c r="H780" s="311">
        <v>1.5E-3</v>
      </c>
      <c r="I780" s="309">
        <v>177.63</v>
      </c>
      <c r="J780" s="309">
        <v>0.26</v>
      </c>
    </row>
    <row r="781" spans="1:10" ht="14.25" customHeight="1" x14ac:dyDescent="0.2">
      <c r="A781" s="306" t="s">
        <v>130</v>
      </c>
      <c r="B781" s="308" t="s">
        <v>354</v>
      </c>
      <c r="C781" s="306" t="s">
        <v>19</v>
      </c>
      <c r="D781" s="306" t="s">
        <v>355</v>
      </c>
      <c r="E781" s="365" t="s">
        <v>61</v>
      </c>
      <c r="F781" s="365"/>
      <c r="G781" s="307" t="s">
        <v>191</v>
      </c>
      <c r="H781" s="311">
        <v>0.1018</v>
      </c>
      <c r="I781" s="309">
        <v>14</v>
      </c>
      <c r="J781" s="309">
        <v>1.42</v>
      </c>
    </row>
    <row r="782" spans="1:10" x14ac:dyDescent="0.2">
      <c r="A782" s="306" t="s">
        <v>130</v>
      </c>
      <c r="B782" s="308" t="s">
        <v>358</v>
      </c>
      <c r="C782" s="306" t="s">
        <v>19</v>
      </c>
      <c r="D782" s="306" t="s">
        <v>359</v>
      </c>
      <c r="E782" s="365" t="s">
        <v>61</v>
      </c>
      <c r="F782" s="365"/>
      <c r="G782" s="307" t="s">
        <v>360</v>
      </c>
      <c r="H782" s="311">
        <v>8.0000000000000004E-4</v>
      </c>
      <c r="I782" s="309">
        <v>6.35</v>
      </c>
      <c r="J782" s="309">
        <v>0</v>
      </c>
    </row>
    <row r="783" spans="1:10" ht="15" customHeight="1" x14ac:dyDescent="0.2">
      <c r="A783" s="306" t="s">
        <v>130</v>
      </c>
      <c r="B783" s="308" t="s">
        <v>361</v>
      </c>
      <c r="C783" s="306" t="s">
        <v>19</v>
      </c>
      <c r="D783" s="306" t="s">
        <v>362</v>
      </c>
      <c r="E783" s="365" t="s">
        <v>61</v>
      </c>
      <c r="F783" s="365"/>
      <c r="G783" s="307" t="s">
        <v>191</v>
      </c>
      <c r="H783" s="311">
        <v>9.4100000000000003E-2</v>
      </c>
      <c r="I783" s="309">
        <v>4.5</v>
      </c>
      <c r="J783" s="309">
        <v>0.42</v>
      </c>
    </row>
    <row r="784" spans="1:10" ht="15" customHeight="1" x14ac:dyDescent="0.2">
      <c r="A784" s="306" t="s">
        <v>130</v>
      </c>
      <c r="B784" s="308" t="s">
        <v>410</v>
      </c>
      <c r="C784" s="306" t="s">
        <v>19</v>
      </c>
      <c r="D784" s="306" t="s">
        <v>411</v>
      </c>
      <c r="E784" s="365" t="s">
        <v>61</v>
      </c>
      <c r="F784" s="365"/>
      <c r="G784" s="307" t="s">
        <v>191</v>
      </c>
      <c r="H784" s="311">
        <v>2.9999999999999997E-4</v>
      </c>
      <c r="I784" s="309">
        <v>18.579999999999998</v>
      </c>
      <c r="J784" s="309">
        <v>0</v>
      </c>
    </row>
    <row r="785" spans="1:10" ht="14.25" customHeight="1" x14ac:dyDescent="0.2">
      <c r="A785" s="306" t="s">
        <v>130</v>
      </c>
      <c r="B785" s="308" t="s">
        <v>408</v>
      </c>
      <c r="C785" s="306" t="s">
        <v>19</v>
      </c>
      <c r="D785" s="306" t="s">
        <v>409</v>
      </c>
      <c r="E785" s="365" t="s">
        <v>61</v>
      </c>
      <c r="F785" s="365"/>
      <c r="G785" s="307" t="s">
        <v>191</v>
      </c>
      <c r="H785" s="311">
        <v>1E-4</v>
      </c>
      <c r="I785" s="309">
        <v>31.5</v>
      </c>
      <c r="J785" s="309">
        <v>0</v>
      </c>
    </row>
    <row r="786" spans="1:10" ht="14.25" customHeight="1" x14ac:dyDescent="0.2">
      <c r="A786" s="306" t="s">
        <v>130</v>
      </c>
      <c r="B786" s="308" t="s">
        <v>369</v>
      </c>
      <c r="C786" s="306" t="s">
        <v>19</v>
      </c>
      <c r="D786" s="306" t="s">
        <v>370</v>
      </c>
      <c r="E786" s="365" t="s">
        <v>272</v>
      </c>
      <c r="F786" s="365"/>
      <c r="G786" s="307" t="s">
        <v>191</v>
      </c>
      <c r="H786" s="311">
        <v>4.4999999999999997E-3</v>
      </c>
      <c r="I786" s="309">
        <v>12.54</v>
      </c>
      <c r="J786" s="309">
        <v>0.05</v>
      </c>
    </row>
    <row r="787" spans="1:10" ht="14.25" customHeight="1" x14ac:dyDescent="0.2">
      <c r="A787" s="306" t="s">
        <v>130</v>
      </c>
      <c r="B787" s="308" t="s">
        <v>412</v>
      </c>
      <c r="C787" s="306" t="s">
        <v>19</v>
      </c>
      <c r="D787" s="306" t="s">
        <v>413</v>
      </c>
      <c r="E787" s="365" t="s">
        <v>61</v>
      </c>
      <c r="F787" s="365"/>
      <c r="G787" s="307" t="s">
        <v>191</v>
      </c>
      <c r="H787" s="311">
        <v>2.0000000000000001E-4</v>
      </c>
      <c r="I787" s="309">
        <v>36.9</v>
      </c>
      <c r="J787" s="309">
        <v>0</v>
      </c>
    </row>
    <row r="788" spans="1:10" ht="14.25" customHeight="1" x14ac:dyDescent="0.2">
      <c r="A788" s="306" t="s">
        <v>130</v>
      </c>
      <c r="B788" s="308" t="s">
        <v>376</v>
      </c>
      <c r="C788" s="306" t="s">
        <v>19</v>
      </c>
      <c r="D788" s="306" t="s">
        <v>377</v>
      </c>
      <c r="E788" s="365" t="s">
        <v>61</v>
      </c>
      <c r="F788" s="365"/>
      <c r="G788" s="307" t="s">
        <v>191</v>
      </c>
      <c r="H788" s="311">
        <v>4.4999999999999997E-3</v>
      </c>
      <c r="I788" s="309">
        <v>5</v>
      </c>
      <c r="J788" s="309">
        <v>0.02</v>
      </c>
    </row>
    <row r="789" spans="1:10" ht="14.25" customHeight="1" x14ac:dyDescent="0.2">
      <c r="A789" s="306" t="s">
        <v>130</v>
      </c>
      <c r="B789" s="308" t="s">
        <v>373</v>
      </c>
      <c r="C789" s="306" t="s">
        <v>19</v>
      </c>
      <c r="D789" s="306" t="s">
        <v>374</v>
      </c>
      <c r="E789" s="365" t="s">
        <v>272</v>
      </c>
      <c r="F789" s="365"/>
      <c r="G789" s="307" t="s">
        <v>375</v>
      </c>
      <c r="H789" s="311">
        <v>4.0000000000000002E-4</v>
      </c>
      <c r="I789" s="309">
        <v>300</v>
      </c>
      <c r="J789" s="309">
        <v>0.12</v>
      </c>
    </row>
    <row r="790" spans="1:10" ht="14.25" customHeight="1" x14ac:dyDescent="0.2">
      <c r="A790" s="306" t="s">
        <v>130</v>
      </c>
      <c r="B790" s="308" t="s">
        <v>382</v>
      </c>
      <c r="C790" s="306" t="s">
        <v>19</v>
      </c>
      <c r="D790" s="306" t="s">
        <v>383</v>
      </c>
      <c r="E790" s="365" t="s">
        <v>272</v>
      </c>
      <c r="F790" s="365"/>
      <c r="G790" s="307" t="s">
        <v>191</v>
      </c>
      <c r="H790" s="311">
        <v>0.1018</v>
      </c>
      <c r="I790" s="309">
        <v>5</v>
      </c>
      <c r="J790" s="309">
        <v>0.5</v>
      </c>
    </row>
    <row r="791" spans="1:10" ht="14.25" customHeight="1" x14ac:dyDescent="0.2">
      <c r="A791" s="306" t="s">
        <v>130</v>
      </c>
      <c r="B791" s="308" t="s">
        <v>378</v>
      </c>
      <c r="C791" s="306" t="s">
        <v>19</v>
      </c>
      <c r="D791" s="306" t="s">
        <v>379</v>
      </c>
      <c r="E791" s="365" t="s">
        <v>61</v>
      </c>
      <c r="F791" s="365"/>
      <c r="G791" s="307" t="s">
        <v>191</v>
      </c>
      <c r="H791" s="311">
        <v>1.8E-3</v>
      </c>
      <c r="I791" s="309">
        <v>35.9</v>
      </c>
      <c r="J791" s="309">
        <v>0.06</v>
      </c>
    </row>
    <row r="792" spans="1:10" ht="14.25" customHeight="1" x14ac:dyDescent="0.2">
      <c r="A792" s="306" t="s">
        <v>130</v>
      </c>
      <c r="B792" s="308" t="s">
        <v>371</v>
      </c>
      <c r="C792" s="306" t="s">
        <v>19</v>
      </c>
      <c r="D792" s="306" t="s">
        <v>372</v>
      </c>
      <c r="E792" s="365" t="s">
        <v>61</v>
      </c>
      <c r="F792" s="365"/>
      <c r="G792" s="307" t="s">
        <v>191</v>
      </c>
      <c r="H792" s="311">
        <v>4.4999999999999997E-3</v>
      </c>
      <c r="I792" s="309">
        <v>165</v>
      </c>
      <c r="J792" s="309">
        <v>0.74</v>
      </c>
    </row>
    <row r="793" spans="1:10" ht="25.5" customHeight="1" x14ac:dyDescent="0.2">
      <c r="A793" s="306" t="s">
        <v>130</v>
      </c>
      <c r="B793" s="308" t="s">
        <v>399</v>
      </c>
      <c r="C793" s="306" t="s">
        <v>38</v>
      </c>
      <c r="D793" s="306" t="s">
        <v>400</v>
      </c>
      <c r="E793" s="365" t="s">
        <v>61</v>
      </c>
      <c r="F793" s="365"/>
      <c r="G793" s="307" t="s">
        <v>401</v>
      </c>
      <c r="H793" s="311">
        <v>8.0000000000000004E-4</v>
      </c>
      <c r="I793" s="309">
        <v>64.8</v>
      </c>
      <c r="J793" s="309">
        <v>0.05</v>
      </c>
    </row>
    <row r="794" spans="1:10" ht="25.5" customHeight="1" x14ac:dyDescent="0.2">
      <c r="A794" s="306" t="s">
        <v>130</v>
      </c>
      <c r="B794" s="308" t="s">
        <v>402</v>
      </c>
      <c r="C794" s="306" t="s">
        <v>38</v>
      </c>
      <c r="D794" s="306" t="s">
        <v>403</v>
      </c>
      <c r="E794" s="365" t="s">
        <v>61</v>
      </c>
      <c r="F794" s="365"/>
      <c r="G794" s="307" t="s">
        <v>194</v>
      </c>
      <c r="H794" s="311">
        <v>2.0000000000000001E-4</v>
      </c>
      <c r="I794" s="309">
        <v>17.55</v>
      </c>
      <c r="J794" s="309">
        <v>0</v>
      </c>
    </row>
    <row r="795" spans="1:10" ht="25.5" x14ac:dyDescent="0.2">
      <c r="A795" s="306" t="s">
        <v>130</v>
      </c>
      <c r="B795" s="308" t="s">
        <v>404</v>
      </c>
      <c r="C795" s="306" t="s">
        <v>38</v>
      </c>
      <c r="D795" s="306" t="s">
        <v>405</v>
      </c>
      <c r="E795" s="365" t="s">
        <v>61</v>
      </c>
      <c r="F795" s="365"/>
      <c r="G795" s="307" t="s">
        <v>194</v>
      </c>
      <c r="H795" s="311">
        <v>5.9999999999999995E-4</v>
      </c>
      <c r="I795" s="309">
        <v>13.5</v>
      </c>
      <c r="J795" s="309">
        <v>0</v>
      </c>
    </row>
    <row r="796" spans="1:10" ht="26.25" customHeight="1" x14ac:dyDescent="0.2">
      <c r="A796" s="306" t="s">
        <v>130</v>
      </c>
      <c r="B796" s="308" t="s">
        <v>414</v>
      </c>
      <c r="C796" s="306" t="s">
        <v>38</v>
      </c>
      <c r="D796" s="306" t="s">
        <v>415</v>
      </c>
      <c r="E796" s="365" t="s">
        <v>148</v>
      </c>
      <c r="F796" s="365"/>
      <c r="G796" s="307" t="s">
        <v>194</v>
      </c>
      <c r="H796" s="311">
        <v>2.0000000000000001E-4</v>
      </c>
      <c r="I796" s="309">
        <v>204.49</v>
      </c>
      <c r="J796" s="309">
        <v>0.04</v>
      </c>
    </row>
    <row r="797" spans="1:10" ht="15" customHeight="1" x14ac:dyDescent="0.2">
      <c r="A797" s="306" t="s">
        <v>130</v>
      </c>
      <c r="B797" s="308" t="s">
        <v>406</v>
      </c>
      <c r="C797" s="306" t="s">
        <v>38</v>
      </c>
      <c r="D797" s="306" t="s">
        <v>407</v>
      </c>
      <c r="E797" s="365" t="s">
        <v>148</v>
      </c>
      <c r="F797" s="365"/>
      <c r="G797" s="307" t="s">
        <v>401</v>
      </c>
      <c r="H797" s="311">
        <v>2.3E-3</v>
      </c>
      <c r="I797" s="309">
        <v>12.15</v>
      </c>
      <c r="J797" s="309">
        <v>0.02</v>
      </c>
    </row>
    <row r="798" spans="1:10" ht="14.25" customHeight="1" x14ac:dyDescent="0.2">
      <c r="A798" s="317"/>
      <c r="B798" s="317"/>
      <c r="C798" s="317"/>
      <c r="D798" s="317"/>
      <c r="E798" s="317"/>
      <c r="F798" s="318"/>
      <c r="G798" s="317"/>
      <c r="H798" s="318"/>
      <c r="I798" s="317"/>
      <c r="J798" s="318"/>
    </row>
    <row r="799" spans="1:10" ht="14.25" customHeight="1" thickBot="1" x14ac:dyDescent="0.25">
      <c r="A799" s="317"/>
      <c r="B799" s="317"/>
      <c r="C799" s="317"/>
      <c r="D799" s="317"/>
      <c r="E799" s="317" t="s">
        <v>123</v>
      </c>
      <c r="F799" s="318">
        <v>0.87</v>
      </c>
      <c r="G799" s="317"/>
      <c r="H799" s="366" t="s">
        <v>124</v>
      </c>
      <c r="I799" s="366"/>
      <c r="J799" s="318">
        <v>4.57</v>
      </c>
    </row>
    <row r="800" spans="1:10" ht="14.25" customHeight="1" thickTop="1" x14ac:dyDescent="0.2">
      <c r="A800" s="299"/>
      <c r="B800" s="299"/>
      <c r="C800" s="299"/>
      <c r="D800" s="299"/>
      <c r="E800" s="299"/>
      <c r="F800" s="299"/>
      <c r="G800" s="299"/>
      <c r="H800" s="299"/>
      <c r="I800" s="299"/>
      <c r="J800" s="299"/>
    </row>
    <row r="801" spans="1:10" ht="14.25" customHeight="1" x14ac:dyDescent="0.2">
      <c r="A801" s="291"/>
      <c r="B801" s="293" t="s">
        <v>6</v>
      </c>
      <c r="C801" s="291" t="s">
        <v>7</v>
      </c>
      <c r="D801" s="291" t="s">
        <v>8</v>
      </c>
      <c r="E801" s="367" t="s">
        <v>114</v>
      </c>
      <c r="F801" s="367"/>
      <c r="G801" s="292" t="s">
        <v>9</v>
      </c>
      <c r="H801" s="293" t="s">
        <v>10</v>
      </c>
      <c r="I801" s="293" t="s">
        <v>11</v>
      </c>
      <c r="J801" s="293" t="s">
        <v>12</v>
      </c>
    </row>
    <row r="802" spans="1:10" ht="14.25" customHeight="1" x14ac:dyDescent="0.2">
      <c r="A802" s="294" t="s">
        <v>115</v>
      </c>
      <c r="B802" s="296" t="s">
        <v>1011</v>
      </c>
      <c r="C802" s="294" t="s">
        <v>119</v>
      </c>
      <c r="D802" s="294" t="s">
        <v>923</v>
      </c>
      <c r="E802" s="373" t="s">
        <v>121</v>
      </c>
      <c r="F802" s="373"/>
      <c r="G802" s="295" t="s">
        <v>49</v>
      </c>
      <c r="H802" s="298">
        <v>1</v>
      </c>
      <c r="I802" s="297">
        <v>38.39</v>
      </c>
      <c r="J802" s="297">
        <v>38.39</v>
      </c>
    </row>
    <row r="803" spans="1:10" ht="14.25" customHeight="1" x14ac:dyDescent="0.2">
      <c r="A803" s="291" t="s">
        <v>724</v>
      </c>
      <c r="B803" s="293" t="s">
        <v>6</v>
      </c>
      <c r="C803" s="291" t="s">
        <v>7</v>
      </c>
      <c r="D803" s="291" t="s">
        <v>160</v>
      </c>
      <c r="E803" s="293" t="s">
        <v>430</v>
      </c>
      <c r="F803" s="363" t="s">
        <v>725</v>
      </c>
      <c r="G803" s="363"/>
      <c r="H803" s="363"/>
      <c r="I803" s="363"/>
      <c r="J803" s="293" t="s">
        <v>433</v>
      </c>
    </row>
    <row r="804" spans="1:10" ht="14.25" customHeight="1" x14ac:dyDescent="0.2">
      <c r="A804" s="306" t="s">
        <v>130</v>
      </c>
      <c r="B804" s="308" t="s">
        <v>726</v>
      </c>
      <c r="C804" s="306" t="s">
        <v>119</v>
      </c>
      <c r="D804" s="306" t="s">
        <v>727</v>
      </c>
      <c r="E804" s="311">
        <v>1</v>
      </c>
      <c r="F804" s="306"/>
      <c r="G804" s="306"/>
      <c r="H804" s="306"/>
      <c r="I804" s="310">
        <v>18.924900000000001</v>
      </c>
      <c r="J804" s="310">
        <v>18.924900000000001</v>
      </c>
    </row>
    <row r="805" spans="1:10" ht="14.25" customHeight="1" x14ac:dyDescent="0.2">
      <c r="A805" s="364"/>
      <c r="B805" s="364"/>
      <c r="C805" s="364"/>
      <c r="D805" s="364"/>
      <c r="E805" s="364"/>
      <c r="F805" s="364"/>
      <c r="G805" s="364" t="s">
        <v>728</v>
      </c>
      <c r="H805" s="364"/>
      <c r="I805" s="364"/>
      <c r="J805" s="314">
        <v>18.924900000000001</v>
      </c>
    </row>
    <row r="806" spans="1:10" x14ac:dyDescent="0.2">
      <c r="A806" s="364"/>
      <c r="B806" s="364"/>
      <c r="C806" s="364"/>
      <c r="D806" s="364"/>
      <c r="E806" s="364"/>
      <c r="F806" s="364"/>
      <c r="G806" s="364" t="s">
        <v>729</v>
      </c>
      <c r="H806" s="364"/>
      <c r="I806" s="364"/>
      <c r="J806" s="314">
        <v>0</v>
      </c>
    </row>
    <row r="807" spans="1:10" ht="15" customHeight="1" x14ac:dyDescent="0.2">
      <c r="A807" s="364"/>
      <c r="B807" s="364"/>
      <c r="C807" s="364"/>
      <c r="D807" s="364"/>
      <c r="E807" s="364"/>
      <c r="F807" s="364"/>
      <c r="G807" s="364" t="s">
        <v>439</v>
      </c>
      <c r="H807" s="364"/>
      <c r="I807" s="364"/>
      <c r="J807" s="314">
        <v>18.924900000000001</v>
      </c>
    </row>
    <row r="808" spans="1:10" ht="15" customHeight="1" x14ac:dyDescent="0.2">
      <c r="A808" s="364"/>
      <c r="B808" s="364"/>
      <c r="C808" s="364"/>
      <c r="D808" s="364"/>
      <c r="E808" s="364"/>
      <c r="F808" s="364"/>
      <c r="G808" s="364" t="s">
        <v>440</v>
      </c>
      <c r="H808" s="364"/>
      <c r="I808" s="364"/>
      <c r="J808" s="314">
        <v>1.43E-2</v>
      </c>
    </row>
    <row r="809" spans="1:10" ht="14.25" customHeight="1" x14ac:dyDescent="0.2">
      <c r="A809" s="364"/>
      <c r="B809" s="364"/>
      <c r="C809" s="364"/>
      <c r="D809" s="364"/>
      <c r="E809" s="364"/>
      <c r="F809" s="364"/>
      <c r="G809" s="364" t="s">
        <v>441</v>
      </c>
      <c r="H809" s="364"/>
      <c r="I809" s="364"/>
      <c r="J809" s="314">
        <v>0.53939999999999999</v>
      </c>
    </row>
    <row r="810" spans="1:10" ht="14.25" customHeight="1" x14ac:dyDescent="0.2">
      <c r="A810" s="364"/>
      <c r="B810" s="364"/>
      <c r="C810" s="364"/>
      <c r="D810" s="364"/>
      <c r="E810" s="364"/>
      <c r="F810" s="364"/>
      <c r="G810" s="364" t="s">
        <v>442</v>
      </c>
      <c r="H810" s="364"/>
      <c r="I810" s="364"/>
      <c r="J810" s="314">
        <v>0.5</v>
      </c>
    </row>
    <row r="811" spans="1:10" ht="14.25" customHeight="1" x14ac:dyDescent="0.2">
      <c r="A811" s="364"/>
      <c r="B811" s="364"/>
      <c r="C811" s="364"/>
      <c r="D811" s="364"/>
      <c r="E811" s="364"/>
      <c r="F811" s="364"/>
      <c r="G811" s="364" t="s">
        <v>443</v>
      </c>
      <c r="H811" s="364"/>
      <c r="I811" s="364"/>
      <c r="J811" s="314">
        <v>37.849800000000002</v>
      </c>
    </row>
    <row r="812" spans="1:10" ht="14.25" customHeight="1" x14ac:dyDescent="0.2">
      <c r="A812" s="317"/>
      <c r="B812" s="317"/>
      <c r="C812" s="317"/>
      <c r="D812" s="317"/>
      <c r="E812" s="317"/>
      <c r="F812" s="318"/>
      <c r="G812" s="317"/>
      <c r="H812" s="318"/>
      <c r="I812" s="317"/>
      <c r="J812" s="318"/>
    </row>
    <row r="813" spans="1:10" ht="14.25" customHeight="1" thickBot="1" x14ac:dyDescent="0.25">
      <c r="A813" s="317"/>
      <c r="B813" s="317"/>
      <c r="C813" s="317"/>
      <c r="D813" s="317"/>
      <c r="E813" s="317" t="s">
        <v>123</v>
      </c>
      <c r="F813" s="318">
        <v>9.09</v>
      </c>
      <c r="G813" s="317"/>
      <c r="H813" s="366" t="s">
        <v>124</v>
      </c>
      <c r="I813" s="366"/>
      <c r="J813" s="318">
        <v>47.48</v>
      </c>
    </row>
    <row r="814" spans="1:10" ht="14.25" customHeight="1" thickTop="1" x14ac:dyDescent="0.2">
      <c r="A814" s="299"/>
      <c r="B814" s="299"/>
      <c r="C814" s="299"/>
      <c r="D814" s="299"/>
      <c r="E814" s="299"/>
      <c r="F814" s="299"/>
      <c r="G814" s="299"/>
      <c r="H814" s="299"/>
      <c r="I814" s="299"/>
      <c r="J814" s="299"/>
    </row>
    <row r="815" spans="1:10" ht="14.25" customHeight="1" x14ac:dyDescent="0.2">
      <c r="A815" s="291"/>
      <c r="B815" s="293" t="s">
        <v>6</v>
      </c>
      <c r="C815" s="291" t="s">
        <v>7</v>
      </c>
      <c r="D815" s="291" t="s">
        <v>8</v>
      </c>
      <c r="E815" s="367" t="s">
        <v>114</v>
      </c>
      <c r="F815" s="367"/>
      <c r="G815" s="292" t="s">
        <v>9</v>
      </c>
      <c r="H815" s="293" t="s">
        <v>10</v>
      </c>
      <c r="I815" s="293" t="s">
        <v>11</v>
      </c>
      <c r="J815" s="293" t="s">
        <v>12</v>
      </c>
    </row>
    <row r="816" spans="1:10" ht="25.5" customHeight="1" x14ac:dyDescent="0.2">
      <c r="A816" s="294" t="s">
        <v>115</v>
      </c>
      <c r="B816" s="296" t="s">
        <v>202</v>
      </c>
      <c r="C816" s="294" t="s">
        <v>38</v>
      </c>
      <c r="D816" s="294" t="s">
        <v>203</v>
      </c>
      <c r="E816" s="373" t="s">
        <v>116</v>
      </c>
      <c r="F816" s="373"/>
      <c r="G816" s="295" t="s">
        <v>127</v>
      </c>
      <c r="H816" s="298">
        <v>1</v>
      </c>
      <c r="I816" s="297">
        <v>21.31</v>
      </c>
      <c r="J816" s="297">
        <v>21.31</v>
      </c>
    </row>
    <row r="817" spans="1:10" ht="25.5" customHeight="1" x14ac:dyDescent="0.2">
      <c r="A817" s="300" t="s">
        <v>117</v>
      </c>
      <c r="B817" s="302" t="s">
        <v>316</v>
      </c>
      <c r="C817" s="300" t="s">
        <v>38</v>
      </c>
      <c r="D817" s="300" t="s">
        <v>317</v>
      </c>
      <c r="E817" s="368" t="s">
        <v>116</v>
      </c>
      <c r="F817" s="368"/>
      <c r="G817" s="301" t="s">
        <v>127</v>
      </c>
      <c r="H817" s="305">
        <v>1</v>
      </c>
      <c r="I817" s="303">
        <v>0.05</v>
      </c>
      <c r="J817" s="303">
        <v>0.05</v>
      </c>
    </row>
    <row r="818" spans="1:10" ht="14.25" customHeight="1" x14ac:dyDescent="0.2">
      <c r="A818" s="306" t="s">
        <v>130</v>
      </c>
      <c r="B818" s="308" t="s">
        <v>264</v>
      </c>
      <c r="C818" s="306" t="s">
        <v>38</v>
      </c>
      <c r="D818" s="306" t="s">
        <v>265</v>
      </c>
      <c r="E818" s="365" t="s">
        <v>225</v>
      </c>
      <c r="F818" s="365"/>
      <c r="G818" s="307" t="s">
        <v>127</v>
      </c>
      <c r="H818" s="311">
        <v>1</v>
      </c>
      <c r="I818" s="309">
        <v>3.84</v>
      </c>
      <c r="J818" s="309">
        <v>3.84</v>
      </c>
    </row>
    <row r="819" spans="1:10" ht="25.5" x14ac:dyDescent="0.2">
      <c r="A819" s="306" t="s">
        <v>130</v>
      </c>
      <c r="B819" s="308" t="s">
        <v>266</v>
      </c>
      <c r="C819" s="306" t="s">
        <v>38</v>
      </c>
      <c r="D819" s="306" t="s">
        <v>267</v>
      </c>
      <c r="E819" s="365" t="s">
        <v>148</v>
      </c>
      <c r="F819" s="365"/>
      <c r="G819" s="307" t="s">
        <v>127</v>
      </c>
      <c r="H819" s="311">
        <v>1</v>
      </c>
      <c r="I819" s="309">
        <v>1.0900000000000001</v>
      </c>
      <c r="J819" s="309">
        <v>1.0900000000000001</v>
      </c>
    </row>
    <row r="820" spans="1:10" ht="15" customHeight="1" x14ac:dyDescent="0.2">
      <c r="A820" s="306" t="s">
        <v>130</v>
      </c>
      <c r="B820" s="308" t="s">
        <v>223</v>
      </c>
      <c r="C820" s="306" t="s">
        <v>38</v>
      </c>
      <c r="D820" s="306" t="s">
        <v>224</v>
      </c>
      <c r="E820" s="365" t="s">
        <v>225</v>
      </c>
      <c r="F820" s="365"/>
      <c r="G820" s="307" t="s">
        <v>127</v>
      </c>
      <c r="H820" s="311">
        <v>1</v>
      </c>
      <c r="I820" s="309">
        <v>0.81</v>
      </c>
      <c r="J820" s="309">
        <v>0.81</v>
      </c>
    </row>
    <row r="821" spans="1:10" ht="30" customHeight="1" x14ac:dyDescent="0.2">
      <c r="A821" s="306" t="s">
        <v>130</v>
      </c>
      <c r="B821" s="308" t="s">
        <v>268</v>
      </c>
      <c r="C821" s="306" t="s">
        <v>38</v>
      </c>
      <c r="D821" s="306" t="s">
        <v>269</v>
      </c>
      <c r="E821" s="365" t="s">
        <v>148</v>
      </c>
      <c r="F821" s="365"/>
      <c r="G821" s="307" t="s">
        <v>127</v>
      </c>
      <c r="H821" s="311">
        <v>1</v>
      </c>
      <c r="I821" s="309">
        <v>0.74</v>
      </c>
      <c r="J821" s="309">
        <v>0.74</v>
      </c>
    </row>
    <row r="822" spans="1:10" ht="14.25" customHeight="1" x14ac:dyDescent="0.2">
      <c r="A822" s="306" t="s">
        <v>130</v>
      </c>
      <c r="B822" s="308" t="s">
        <v>318</v>
      </c>
      <c r="C822" s="306" t="s">
        <v>38</v>
      </c>
      <c r="D822" s="306" t="s">
        <v>319</v>
      </c>
      <c r="E822" s="365" t="s">
        <v>160</v>
      </c>
      <c r="F822" s="365"/>
      <c r="G822" s="307" t="s">
        <v>127</v>
      </c>
      <c r="H822" s="311">
        <v>1</v>
      </c>
      <c r="I822" s="309">
        <v>13.53</v>
      </c>
      <c r="J822" s="309">
        <v>13.53</v>
      </c>
    </row>
    <row r="823" spans="1:10" ht="14.25" customHeight="1" x14ac:dyDescent="0.2">
      <c r="A823" s="306" t="s">
        <v>130</v>
      </c>
      <c r="B823" s="308" t="s">
        <v>228</v>
      </c>
      <c r="C823" s="306" t="s">
        <v>38</v>
      </c>
      <c r="D823" s="306" t="s">
        <v>229</v>
      </c>
      <c r="E823" s="365" t="s">
        <v>230</v>
      </c>
      <c r="F823" s="365"/>
      <c r="G823" s="307" t="s">
        <v>127</v>
      </c>
      <c r="H823" s="311">
        <v>1</v>
      </c>
      <c r="I823" s="309">
        <v>0.06</v>
      </c>
      <c r="J823" s="309">
        <v>0.06</v>
      </c>
    </row>
    <row r="824" spans="1:10" ht="14.25" customHeight="1" x14ac:dyDescent="0.2">
      <c r="A824" s="306" t="s">
        <v>130</v>
      </c>
      <c r="B824" s="308" t="s">
        <v>270</v>
      </c>
      <c r="C824" s="306" t="s">
        <v>38</v>
      </c>
      <c r="D824" s="306" t="s">
        <v>271</v>
      </c>
      <c r="E824" s="365" t="s">
        <v>272</v>
      </c>
      <c r="F824" s="365"/>
      <c r="G824" s="307" t="s">
        <v>127</v>
      </c>
      <c r="H824" s="311">
        <v>1</v>
      </c>
      <c r="I824" s="309">
        <v>1.19</v>
      </c>
      <c r="J824" s="309">
        <v>1.19</v>
      </c>
    </row>
    <row r="825" spans="1:10" ht="14.25" customHeight="1" x14ac:dyDescent="0.2">
      <c r="A825" s="317"/>
      <c r="B825" s="317"/>
      <c r="C825" s="317"/>
      <c r="D825" s="317"/>
      <c r="E825" s="317"/>
      <c r="F825" s="318"/>
      <c r="G825" s="317"/>
      <c r="H825" s="318"/>
      <c r="I825" s="317"/>
      <c r="J825" s="318"/>
    </row>
    <row r="826" spans="1:10" ht="14.25" customHeight="1" thickBot="1" x14ac:dyDescent="0.25">
      <c r="A826" s="317"/>
      <c r="B826" s="317"/>
      <c r="C826" s="317"/>
      <c r="D826" s="317"/>
      <c r="E826" s="317" t="s">
        <v>123</v>
      </c>
      <c r="F826" s="318">
        <v>5.05</v>
      </c>
      <c r="G826" s="317"/>
      <c r="H826" s="366" t="s">
        <v>124</v>
      </c>
      <c r="I826" s="366"/>
      <c r="J826" s="318">
        <v>26.36</v>
      </c>
    </row>
    <row r="827" spans="1:10" ht="14.25" customHeight="1" thickTop="1" x14ac:dyDescent="0.2">
      <c r="A827" s="299"/>
      <c r="B827" s="299"/>
      <c r="C827" s="299"/>
      <c r="D827" s="299"/>
      <c r="E827" s="299"/>
      <c r="F827" s="299"/>
      <c r="G827" s="299"/>
      <c r="H827" s="299"/>
      <c r="I827" s="299"/>
      <c r="J827" s="299"/>
    </row>
    <row r="828" spans="1:10" ht="14.25" customHeight="1" x14ac:dyDescent="0.2">
      <c r="A828" s="291"/>
      <c r="B828" s="293" t="s">
        <v>6</v>
      </c>
      <c r="C828" s="291" t="s">
        <v>7</v>
      </c>
      <c r="D828" s="291" t="s">
        <v>8</v>
      </c>
      <c r="E828" s="367" t="s">
        <v>114</v>
      </c>
      <c r="F828" s="367"/>
      <c r="G828" s="292" t="s">
        <v>9</v>
      </c>
      <c r="H828" s="293" t="s">
        <v>10</v>
      </c>
      <c r="I828" s="293" t="s">
        <v>11</v>
      </c>
      <c r="J828" s="293" t="s">
        <v>12</v>
      </c>
    </row>
    <row r="829" spans="1:10" ht="25.5" customHeight="1" x14ac:dyDescent="0.2">
      <c r="A829" s="294" t="s">
        <v>115</v>
      </c>
      <c r="B829" s="296" t="s">
        <v>138</v>
      </c>
      <c r="C829" s="294" t="s">
        <v>38</v>
      </c>
      <c r="D829" s="294" t="s">
        <v>139</v>
      </c>
      <c r="E829" s="373" t="s">
        <v>116</v>
      </c>
      <c r="F829" s="373"/>
      <c r="G829" s="295" t="s">
        <v>127</v>
      </c>
      <c r="H829" s="298">
        <v>1</v>
      </c>
      <c r="I829" s="297">
        <v>46.74</v>
      </c>
      <c r="J829" s="297">
        <v>46.74</v>
      </c>
    </row>
    <row r="830" spans="1:10" ht="25.5" customHeight="1" x14ac:dyDescent="0.2">
      <c r="A830" s="300" t="s">
        <v>117</v>
      </c>
      <c r="B830" s="302" t="s">
        <v>320</v>
      </c>
      <c r="C830" s="300" t="s">
        <v>38</v>
      </c>
      <c r="D830" s="300" t="s">
        <v>321</v>
      </c>
      <c r="E830" s="368" t="s">
        <v>116</v>
      </c>
      <c r="F830" s="368"/>
      <c r="G830" s="301" t="s">
        <v>127</v>
      </c>
      <c r="H830" s="305">
        <v>1</v>
      </c>
      <c r="I830" s="303">
        <v>0.75</v>
      </c>
      <c r="J830" s="303">
        <v>0.75</v>
      </c>
    </row>
    <row r="831" spans="1:10" ht="25.5" customHeight="1" x14ac:dyDescent="0.2">
      <c r="A831" s="306" t="s">
        <v>130</v>
      </c>
      <c r="B831" s="308" t="s">
        <v>416</v>
      </c>
      <c r="C831" s="306" t="s">
        <v>38</v>
      </c>
      <c r="D831" s="306" t="s">
        <v>417</v>
      </c>
      <c r="E831" s="365" t="s">
        <v>148</v>
      </c>
      <c r="F831" s="365"/>
      <c r="G831" s="307" t="s">
        <v>127</v>
      </c>
      <c r="H831" s="311">
        <v>1</v>
      </c>
      <c r="I831" s="309">
        <v>1.08</v>
      </c>
      <c r="J831" s="309">
        <v>1.08</v>
      </c>
    </row>
    <row r="832" spans="1:10" x14ac:dyDescent="0.2">
      <c r="A832" s="306" t="s">
        <v>130</v>
      </c>
      <c r="B832" s="308" t="s">
        <v>223</v>
      </c>
      <c r="C832" s="306" t="s">
        <v>38</v>
      </c>
      <c r="D832" s="306" t="s">
        <v>224</v>
      </c>
      <c r="E832" s="365" t="s">
        <v>225</v>
      </c>
      <c r="F832" s="365"/>
      <c r="G832" s="307" t="s">
        <v>127</v>
      </c>
      <c r="H832" s="311">
        <v>1</v>
      </c>
      <c r="I832" s="309">
        <v>0.81</v>
      </c>
      <c r="J832" s="309">
        <v>0.81</v>
      </c>
    </row>
    <row r="833" spans="1:10" ht="26.25" customHeight="1" x14ac:dyDescent="0.2">
      <c r="A833" s="306" t="s">
        <v>130</v>
      </c>
      <c r="B833" s="308" t="s">
        <v>418</v>
      </c>
      <c r="C833" s="306" t="s">
        <v>38</v>
      </c>
      <c r="D833" s="306" t="s">
        <v>419</v>
      </c>
      <c r="E833" s="365" t="s">
        <v>148</v>
      </c>
      <c r="F833" s="365"/>
      <c r="G833" s="307" t="s">
        <v>127</v>
      </c>
      <c r="H833" s="311">
        <v>1</v>
      </c>
      <c r="I833" s="309">
        <v>0.1</v>
      </c>
      <c r="J833" s="309">
        <v>0.1</v>
      </c>
    </row>
    <row r="834" spans="1:10" ht="15" customHeight="1" x14ac:dyDescent="0.2">
      <c r="A834" s="306" t="s">
        <v>130</v>
      </c>
      <c r="B834" s="308" t="s">
        <v>322</v>
      </c>
      <c r="C834" s="306" t="s">
        <v>38</v>
      </c>
      <c r="D834" s="306" t="s">
        <v>323</v>
      </c>
      <c r="E834" s="365" t="s">
        <v>160</v>
      </c>
      <c r="F834" s="365"/>
      <c r="G834" s="307" t="s">
        <v>127</v>
      </c>
      <c r="H834" s="311">
        <v>1</v>
      </c>
      <c r="I834" s="309">
        <v>43.94</v>
      </c>
      <c r="J834" s="309">
        <v>43.94</v>
      </c>
    </row>
    <row r="835" spans="1:10" ht="14.25" customHeight="1" x14ac:dyDescent="0.2">
      <c r="A835" s="306" t="s">
        <v>130</v>
      </c>
      <c r="B835" s="308" t="s">
        <v>228</v>
      </c>
      <c r="C835" s="306" t="s">
        <v>38</v>
      </c>
      <c r="D835" s="306" t="s">
        <v>229</v>
      </c>
      <c r="E835" s="365" t="s">
        <v>230</v>
      </c>
      <c r="F835" s="365"/>
      <c r="G835" s="307" t="s">
        <v>127</v>
      </c>
      <c r="H835" s="311">
        <v>1</v>
      </c>
      <c r="I835" s="309">
        <v>0.06</v>
      </c>
      <c r="J835" s="309">
        <v>0.06</v>
      </c>
    </row>
    <row r="836" spans="1:10" ht="14.25" customHeight="1" x14ac:dyDescent="0.2">
      <c r="A836" s="317"/>
      <c r="B836" s="317"/>
      <c r="C836" s="317"/>
      <c r="D836" s="317"/>
      <c r="E836" s="317"/>
      <c r="F836" s="318"/>
      <c r="G836" s="317"/>
      <c r="H836" s="318"/>
      <c r="I836" s="317"/>
      <c r="J836" s="318"/>
    </row>
    <row r="837" spans="1:10" ht="14.25" customHeight="1" thickBot="1" x14ac:dyDescent="0.25">
      <c r="A837" s="317"/>
      <c r="B837" s="317"/>
      <c r="C837" s="317"/>
      <c r="D837" s="317"/>
      <c r="E837" s="317" t="s">
        <v>123</v>
      </c>
      <c r="F837" s="318">
        <v>11.07</v>
      </c>
      <c r="G837" s="317"/>
      <c r="H837" s="366" t="s">
        <v>124</v>
      </c>
      <c r="I837" s="366"/>
      <c r="J837" s="318">
        <v>57.81</v>
      </c>
    </row>
    <row r="838" spans="1:10" ht="14.25" customHeight="1" thickTop="1" x14ac:dyDescent="0.2">
      <c r="A838" s="299"/>
      <c r="B838" s="299"/>
      <c r="C838" s="299"/>
      <c r="D838" s="299"/>
      <c r="E838" s="299"/>
      <c r="F838" s="299"/>
      <c r="G838" s="299"/>
      <c r="H838" s="299"/>
      <c r="I838" s="299"/>
      <c r="J838" s="299"/>
    </row>
    <row r="839" spans="1:10" ht="14.25" customHeight="1" x14ac:dyDescent="0.2">
      <c r="A839" s="291"/>
      <c r="B839" s="293" t="s">
        <v>6</v>
      </c>
      <c r="C839" s="291" t="s">
        <v>7</v>
      </c>
      <c r="D839" s="291" t="s">
        <v>8</v>
      </c>
      <c r="E839" s="367" t="s">
        <v>114</v>
      </c>
      <c r="F839" s="367"/>
      <c r="G839" s="292" t="s">
        <v>9</v>
      </c>
      <c r="H839" s="293" t="s">
        <v>10</v>
      </c>
      <c r="I839" s="293" t="s">
        <v>11</v>
      </c>
      <c r="J839" s="293" t="s">
        <v>12</v>
      </c>
    </row>
    <row r="840" spans="1:10" ht="25.5" customHeight="1" x14ac:dyDescent="0.2">
      <c r="A840" s="294" t="s">
        <v>115</v>
      </c>
      <c r="B840" s="296" t="s">
        <v>282</v>
      </c>
      <c r="C840" s="294" t="s">
        <v>38</v>
      </c>
      <c r="D840" s="294" t="s">
        <v>283</v>
      </c>
      <c r="E840" s="373" t="s">
        <v>116</v>
      </c>
      <c r="F840" s="373"/>
      <c r="G840" s="295" t="s">
        <v>127</v>
      </c>
      <c r="H840" s="298">
        <v>1</v>
      </c>
      <c r="I840" s="297">
        <v>39.909999999999997</v>
      </c>
      <c r="J840" s="297">
        <v>39.909999999999997</v>
      </c>
    </row>
    <row r="841" spans="1:10" ht="25.5" customHeight="1" x14ac:dyDescent="0.2">
      <c r="A841" s="300" t="s">
        <v>117</v>
      </c>
      <c r="B841" s="302" t="s">
        <v>324</v>
      </c>
      <c r="C841" s="300" t="s">
        <v>38</v>
      </c>
      <c r="D841" s="300" t="s">
        <v>325</v>
      </c>
      <c r="E841" s="368" t="s">
        <v>116</v>
      </c>
      <c r="F841" s="368"/>
      <c r="G841" s="301" t="s">
        <v>127</v>
      </c>
      <c r="H841" s="305">
        <v>1</v>
      </c>
      <c r="I841" s="303">
        <v>0.13</v>
      </c>
      <c r="J841" s="303">
        <v>0.13</v>
      </c>
    </row>
    <row r="842" spans="1:10" ht="14.25" customHeight="1" x14ac:dyDescent="0.2">
      <c r="A842" s="306" t="s">
        <v>130</v>
      </c>
      <c r="B842" s="308" t="s">
        <v>264</v>
      </c>
      <c r="C842" s="306" t="s">
        <v>38</v>
      </c>
      <c r="D842" s="306" t="s">
        <v>265</v>
      </c>
      <c r="E842" s="365" t="s">
        <v>225</v>
      </c>
      <c r="F842" s="365"/>
      <c r="G842" s="307" t="s">
        <v>127</v>
      </c>
      <c r="H842" s="311">
        <v>1</v>
      </c>
      <c r="I842" s="309">
        <v>3.84</v>
      </c>
      <c r="J842" s="309">
        <v>3.84</v>
      </c>
    </row>
    <row r="843" spans="1:10" ht="25.5" customHeight="1" x14ac:dyDescent="0.2">
      <c r="A843" s="306" t="s">
        <v>130</v>
      </c>
      <c r="B843" s="308" t="s">
        <v>420</v>
      </c>
      <c r="C843" s="306" t="s">
        <v>38</v>
      </c>
      <c r="D843" s="306" t="s">
        <v>421</v>
      </c>
      <c r="E843" s="365" t="s">
        <v>148</v>
      </c>
      <c r="F843" s="365"/>
      <c r="G843" s="307" t="s">
        <v>127</v>
      </c>
      <c r="H843" s="311">
        <v>1</v>
      </c>
      <c r="I843" s="309">
        <v>0.76</v>
      </c>
      <c r="J843" s="309">
        <v>0.76</v>
      </c>
    </row>
    <row r="844" spans="1:10" ht="14.25" customHeight="1" x14ac:dyDescent="0.2">
      <c r="A844" s="306" t="s">
        <v>130</v>
      </c>
      <c r="B844" s="308" t="s">
        <v>223</v>
      </c>
      <c r="C844" s="306" t="s">
        <v>38</v>
      </c>
      <c r="D844" s="306" t="s">
        <v>224</v>
      </c>
      <c r="E844" s="365" t="s">
        <v>225</v>
      </c>
      <c r="F844" s="365"/>
      <c r="G844" s="307" t="s">
        <v>127</v>
      </c>
      <c r="H844" s="311">
        <v>1</v>
      </c>
      <c r="I844" s="309">
        <v>0.81</v>
      </c>
      <c r="J844" s="309">
        <v>0.81</v>
      </c>
    </row>
    <row r="845" spans="1:10" ht="25.5" x14ac:dyDescent="0.2">
      <c r="A845" s="306" t="s">
        <v>130</v>
      </c>
      <c r="B845" s="308" t="s">
        <v>422</v>
      </c>
      <c r="C845" s="306" t="s">
        <v>38</v>
      </c>
      <c r="D845" s="306" t="s">
        <v>423</v>
      </c>
      <c r="E845" s="365" t="s">
        <v>148</v>
      </c>
      <c r="F845" s="365"/>
      <c r="G845" s="307" t="s">
        <v>127</v>
      </c>
      <c r="H845" s="311">
        <v>1</v>
      </c>
      <c r="I845" s="309">
        <v>0.01</v>
      </c>
      <c r="J845" s="309">
        <v>0.01</v>
      </c>
    </row>
    <row r="846" spans="1:10" ht="15" customHeight="1" x14ac:dyDescent="0.2">
      <c r="A846" s="306" t="s">
        <v>130</v>
      </c>
      <c r="B846" s="308" t="s">
        <v>326</v>
      </c>
      <c r="C846" s="306" t="s">
        <v>38</v>
      </c>
      <c r="D846" s="306" t="s">
        <v>327</v>
      </c>
      <c r="E846" s="365" t="s">
        <v>160</v>
      </c>
      <c r="F846" s="365"/>
      <c r="G846" s="307" t="s">
        <v>127</v>
      </c>
      <c r="H846" s="311">
        <v>1</v>
      </c>
      <c r="I846" s="309">
        <v>33.11</v>
      </c>
      <c r="J846" s="309">
        <v>33.11</v>
      </c>
    </row>
    <row r="847" spans="1:10" ht="15" customHeight="1" x14ac:dyDescent="0.2">
      <c r="A847" s="306" t="s">
        <v>130</v>
      </c>
      <c r="B847" s="308" t="s">
        <v>228</v>
      </c>
      <c r="C847" s="306" t="s">
        <v>38</v>
      </c>
      <c r="D847" s="306" t="s">
        <v>229</v>
      </c>
      <c r="E847" s="365" t="s">
        <v>230</v>
      </c>
      <c r="F847" s="365"/>
      <c r="G847" s="307" t="s">
        <v>127</v>
      </c>
      <c r="H847" s="311">
        <v>1</v>
      </c>
      <c r="I847" s="309">
        <v>0.06</v>
      </c>
      <c r="J847" s="309">
        <v>0.06</v>
      </c>
    </row>
    <row r="848" spans="1:10" ht="14.25" customHeight="1" x14ac:dyDescent="0.2">
      <c r="A848" s="306" t="s">
        <v>130</v>
      </c>
      <c r="B848" s="308" t="s">
        <v>270</v>
      </c>
      <c r="C848" s="306" t="s">
        <v>38</v>
      </c>
      <c r="D848" s="306" t="s">
        <v>271</v>
      </c>
      <c r="E848" s="365" t="s">
        <v>272</v>
      </c>
      <c r="F848" s="365"/>
      <c r="G848" s="307" t="s">
        <v>127</v>
      </c>
      <c r="H848" s="311">
        <v>1</v>
      </c>
      <c r="I848" s="309">
        <v>1.19</v>
      </c>
      <c r="J848" s="309">
        <v>1.19</v>
      </c>
    </row>
    <row r="849" spans="1:10" ht="14.25" customHeight="1" x14ac:dyDescent="0.2">
      <c r="A849" s="317"/>
      <c r="B849" s="317"/>
      <c r="C849" s="317"/>
      <c r="D849" s="317"/>
      <c r="E849" s="317"/>
      <c r="F849" s="318"/>
      <c r="G849" s="317"/>
      <c r="H849" s="318"/>
      <c r="I849" s="317"/>
      <c r="J849" s="318"/>
    </row>
    <row r="850" spans="1:10" ht="14.25" customHeight="1" thickBot="1" x14ac:dyDescent="0.25">
      <c r="A850" s="317"/>
      <c r="B850" s="317"/>
      <c r="C850" s="317"/>
      <c r="D850" s="317"/>
      <c r="E850" s="317" t="s">
        <v>123</v>
      </c>
      <c r="F850" s="318">
        <v>9.4499999999999993</v>
      </c>
      <c r="G850" s="317"/>
      <c r="H850" s="366" t="s">
        <v>124</v>
      </c>
      <c r="I850" s="366"/>
      <c r="J850" s="318">
        <v>49.36</v>
      </c>
    </row>
    <row r="851" spans="1:10" ht="14.25" customHeight="1" thickTop="1" x14ac:dyDescent="0.2">
      <c r="A851" s="299"/>
      <c r="B851" s="299"/>
      <c r="C851" s="299"/>
      <c r="D851" s="299"/>
      <c r="E851" s="299"/>
      <c r="F851" s="299"/>
      <c r="G851" s="299"/>
      <c r="H851" s="299"/>
      <c r="I851" s="299"/>
      <c r="J851" s="299"/>
    </row>
    <row r="852" spans="1:10" ht="14.25" customHeight="1" x14ac:dyDescent="0.2">
      <c r="A852" s="291"/>
      <c r="B852" s="293" t="s">
        <v>6</v>
      </c>
      <c r="C852" s="291" t="s">
        <v>7</v>
      </c>
      <c r="D852" s="291" t="s">
        <v>8</v>
      </c>
      <c r="E852" s="367" t="s">
        <v>114</v>
      </c>
      <c r="F852" s="367"/>
      <c r="G852" s="292" t="s">
        <v>9</v>
      </c>
      <c r="H852" s="293" t="s">
        <v>10</v>
      </c>
      <c r="I852" s="293" t="s">
        <v>11</v>
      </c>
      <c r="J852" s="293" t="s">
        <v>12</v>
      </c>
    </row>
    <row r="853" spans="1:10" ht="25.5" customHeight="1" x14ac:dyDescent="0.2">
      <c r="A853" s="294" t="s">
        <v>115</v>
      </c>
      <c r="B853" s="296" t="s">
        <v>211</v>
      </c>
      <c r="C853" s="294" t="s">
        <v>38</v>
      </c>
      <c r="D853" s="294" t="s">
        <v>212</v>
      </c>
      <c r="E853" s="373" t="s">
        <v>116</v>
      </c>
      <c r="F853" s="373"/>
      <c r="G853" s="295" t="s">
        <v>127</v>
      </c>
      <c r="H853" s="298">
        <v>1</v>
      </c>
      <c r="I853" s="297">
        <v>28.38</v>
      </c>
      <c r="J853" s="297">
        <v>28.38</v>
      </c>
    </row>
    <row r="854" spans="1:10" ht="38.25" customHeight="1" x14ac:dyDescent="0.2">
      <c r="A854" s="300" t="s">
        <v>117</v>
      </c>
      <c r="B854" s="302" t="s">
        <v>328</v>
      </c>
      <c r="C854" s="300" t="s">
        <v>38</v>
      </c>
      <c r="D854" s="300" t="s">
        <v>329</v>
      </c>
      <c r="E854" s="368" t="s">
        <v>116</v>
      </c>
      <c r="F854" s="368"/>
      <c r="G854" s="301" t="s">
        <v>127</v>
      </c>
      <c r="H854" s="305">
        <v>1</v>
      </c>
      <c r="I854" s="303">
        <v>0.14000000000000001</v>
      </c>
      <c r="J854" s="303">
        <v>0.14000000000000001</v>
      </c>
    </row>
    <row r="855" spans="1:10" ht="14.25" customHeight="1" x14ac:dyDescent="0.2">
      <c r="A855" s="306" t="s">
        <v>130</v>
      </c>
      <c r="B855" s="308" t="s">
        <v>264</v>
      </c>
      <c r="C855" s="306" t="s">
        <v>38</v>
      </c>
      <c r="D855" s="306" t="s">
        <v>265</v>
      </c>
      <c r="E855" s="365" t="s">
        <v>225</v>
      </c>
      <c r="F855" s="365"/>
      <c r="G855" s="307" t="s">
        <v>127</v>
      </c>
      <c r="H855" s="311">
        <v>1</v>
      </c>
      <c r="I855" s="309">
        <v>3.84</v>
      </c>
      <c r="J855" s="309">
        <v>3.84</v>
      </c>
    </row>
    <row r="856" spans="1:10" ht="14.25" customHeight="1" x14ac:dyDescent="0.2">
      <c r="A856" s="306" t="s">
        <v>130</v>
      </c>
      <c r="B856" s="308" t="s">
        <v>223</v>
      </c>
      <c r="C856" s="306" t="s">
        <v>38</v>
      </c>
      <c r="D856" s="306" t="s">
        <v>224</v>
      </c>
      <c r="E856" s="365" t="s">
        <v>225</v>
      </c>
      <c r="F856" s="365"/>
      <c r="G856" s="307" t="s">
        <v>127</v>
      </c>
      <c r="H856" s="311">
        <v>1</v>
      </c>
      <c r="I856" s="309">
        <v>0.81</v>
      </c>
      <c r="J856" s="309">
        <v>0.81</v>
      </c>
    </row>
    <row r="857" spans="1:10" ht="25.5" customHeight="1" x14ac:dyDescent="0.2">
      <c r="A857" s="306" t="s">
        <v>130</v>
      </c>
      <c r="B857" s="308" t="s">
        <v>420</v>
      </c>
      <c r="C857" s="306" t="s">
        <v>38</v>
      </c>
      <c r="D857" s="306" t="s">
        <v>421</v>
      </c>
      <c r="E857" s="365" t="s">
        <v>148</v>
      </c>
      <c r="F857" s="365"/>
      <c r="G857" s="307" t="s">
        <v>127</v>
      </c>
      <c r="H857" s="311">
        <v>1</v>
      </c>
      <c r="I857" s="309">
        <v>0.76</v>
      </c>
      <c r="J857" s="309">
        <v>0.76</v>
      </c>
    </row>
    <row r="858" spans="1:10" ht="25.5" x14ac:dyDescent="0.2">
      <c r="A858" s="306" t="s">
        <v>130</v>
      </c>
      <c r="B858" s="308" t="s">
        <v>422</v>
      </c>
      <c r="C858" s="306" t="s">
        <v>38</v>
      </c>
      <c r="D858" s="306" t="s">
        <v>423</v>
      </c>
      <c r="E858" s="365" t="s">
        <v>148</v>
      </c>
      <c r="F858" s="365"/>
      <c r="G858" s="307" t="s">
        <v>127</v>
      </c>
      <c r="H858" s="311">
        <v>1</v>
      </c>
      <c r="I858" s="309">
        <v>0.01</v>
      </c>
      <c r="J858" s="309">
        <v>0.01</v>
      </c>
    </row>
    <row r="859" spans="1:10" ht="15" customHeight="1" x14ac:dyDescent="0.2">
      <c r="A859" s="306" t="s">
        <v>130</v>
      </c>
      <c r="B859" s="308" t="s">
        <v>330</v>
      </c>
      <c r="C859" s="306" t="s">
        <v>38</v>
      </c>
      <c r="D859" s="306" t="s">
        <v>331</v>
      </c>
      <c r="E859" s="365" t="s">
        <v>160</v>
      </c>
      <c r="F859" s="365"/>
      <c r="G859" s="307" t="s">
        <v>127</v>
      </c>
      <c r="H859" s="311">
        <v>1</v>
      </c>
      <c r="I859" s="309">
        <v>21.57</v>
      </c>
      <c r="J859" s="309">
        <v>21.57</v>
      </c>
    </row>
    <row r="860" spans="1:10" ht="15" customHeight="1" x14ac:dyDescent="0.2">
      <c r="A860" s="306" t="s">
        <v>130</v>
      </c>
      <c r="B860" s="308" t="s">
        <v>228</v>
      </c>
      <c r="C860" s="306" t="s">
        <v>38</v>
      </c>
      <c r="D860" s="306" t="s">
        <v>229</v>
      </c>
      <c r="E860" s="365" t="s">
        <v>230</v>
      </c>
      <c r="F860" s="365"/>
      <c r="G860" s="307" t="s">
        <v>127</v>
      </c>
      <c r="H860" s="311">
        <v>1</v>
      </c>
      <c r="I860" s="309">
        <v>0.06</v>
      </c>
      <c r="J860" s="309">
        <v>0.06</v>
      </c>
    </row>
    <row r="861" spans="1:10" ht="14.25" customHeight="1" x14ac:dyDescent="0.2">
      <c r="A861" s="306" t="s">
        <v>130</v>
      </c>
      <c r="B861" s="308" t="s">
        <v>270</v>
      </c>
      <c r="C861" s="306" t="s">
        <v>38</v>
      </c>
      <c r="D861" s="306" t="s">
        <v>271</v>
      </c>
      <c r="E861" s="365" t="s">
        <v>272</v>
      </c>
      <c r="F861" s="365"/>
      <c r="G861" s="307" t="s">
        <v>127</v>
      </c>
      <c r="H861" s="311">
        <v>1</v>
      </c>
      <c r="I861" s="309">
        <v>1.19</v>
      </c>
      <c r="J861" s="309">
        <v>1.19</v>
      </c>
    </row>
    <row r="862" spans="1:10" ht="14.25" customHeight="1" x14ac:dyDescent="0.2">
      <c r="A862" s="317"/>
      <c r="B862" s="317"/>
      <c r="C862" s="317"/>
      <c r="D862" s="317"/>
      <c r="E862" s="317"/>
      <c r="F862" s="318"/>
      <c r="G862" s="317"/>
      <c r="H862" s="318"/>
      <c r="I862" s="317"/>
      <c r="J862" s="318"/>
    </row>
    <row r="863" spans="1:10" ht="14.25" customHeight="1" thickBot="1" x14ac:dyDescent="0.25">
      <c r="A863" s="317"/>
      <c r="B863" s="317"/>
      <c r="C863" s="317"/>
      <c r="D863" s="317"/>
      <c r="E863" s="317" t="s">
        <v>123</v>
      </c>
      <c r="F863" s="318">
        <v>6.72</v>
      </c>
      <c r="G863" s="317"/>
      <c r="H863" s="366" t="s">
        <v>124</v>
      </c>
      <c r="I863" s="366"/>
      <c r="J863" s="318">
        <v>35.1</v>
      </c>
    </row>
    <row r="864" spans="1:10" ht="14.25" customHeight="1" thickTop="1" x14ac:dyDescent="0.2">
      <c r="A864" s="299"/>
      <c r="B864" s="299"/>
      <c r="C864" s="299"/>
      <c r="D864" s="299"/>
      <c r="E864" s="299"/>
      <c r="F864" s="299"/>
      <c r="G864" s="299"/>
      <c r="H864" s="299"/>
      <c r="I864" s="299"/>
      <c r="J864" s="299"/>
    </row>
    <row r="865" spans="1:10" ht="14.25" customHeight="1" x14ac:dyDescent="0.2">
      <c r="A865" s="291"/>
      <c r="B865" s="293" t="s">
        <v>6</v>
      </c>
      <c r="C865" s="291" t="s">
        <v>7</v>
      </c>
      <c r="D865" s="291" t="s">
        <v>8</v>
      </c>
      <c r="E865" s="367" t="s">
        <v>114</v>
      </c>
      <c r="F865" s="367"/>
      <c r="G865" s="292" t="s">
        <v>9</v>
      </c>
      <c r="H865" s="293" t="s">
        <v>10</v>
      </c>
      <c r="I865" s="293" t="s">
        <v>11</v>
      </c>
      <c r="J865" s="293" t="s">
        <v>12</v>
      </c>
    </row>
    <row r="866" spans="1:10" ht="14.25" customHeight="1" x14ac:dyDescent="0.2">
      <c r="A866" s="294" t="s">
        <v>115</v>
      </c>
      <c r="B866" s="296" t="s">
        <v>1012</v>
      </c>
      <c r="C866" s="294" t="s">
        <v>119</v>
      </c>
      <c r="D866" s="294" t="s">
        <v>977</v>
      </c>
      <c r="E866" s="373" t="s">
        <v>121</v>
      </c>
      <c r="F866" s="373"/>
      <c r="G866" s="295" t="s">
        <v>21</v>
      </c>
      <c r="H866" s="298">
        <v>1</v>
      </c>
      <c r="I866" s="297">
        <v>14.95</v>
      </c>
      <c r="J866" s="297">
        <v>14.95</v>
      </c>
    </row>
    <row r="867" spans="1:10" ht="14.25" customHeight="1" x14ac:dyDescent="0.2">
      <c r="A867" s="367" t="s">
        <v>428</v>
      </c>
      <c r="B867" s="363" t="s">
        <v>6</v>
      </c>
      <c r="C867" s="367" t="s">
        <v>7</v>
      </c>
      <c r="D867" s="367" t="s">
        <v>429</v>
      </c>
      <c r="E867" s="363" t="s">
        <v>430</v>
      </c>
      <c r="F867" s="375" t="s">
        <v>431</v>
      </c>
      <c r="G867" s="363"/>
      <c r="H867" s="375" t="s">
        <v>432</v>
      </c>
      <c r="I867" s="363"/>
      <c r="J867" s="363" t="s">
        <v>433</v>
      </c>
    </row>
    <row r="868" spans="1:10" ht="14.25" customHeight="1" x14ac:dyDescent="0.2">
      <c r="A868" s="363"/>
      <c r="B868" s="363"/>
      <c r="C868" s="363"/>
      <c r="D868" s="363"/>
      <c r="E868" s="363"/>
      <c r="F868" s="293" t="s">
        <v>434</v>
      </c>
      <c r="G868" s="293" t="s">
        <v>435</v>
      </c>
      <c r="H868" s="293" t="s">
        <v>434</v>
      </c>
      <c r="I868" s="293" t="s">
        <v>435</v>
      </c>
      <c r="J868" s="363"/>
    </row>
    <row r="869" spans="1:10" ht="25.5" customHeight="1" x14ac:dyDescent="0.2">
      <c r="A869" s="306" t="s">
        <v>130</v>
      </c>
      <c r="B869" s="308" t="s">
        <v>978</v>
      </c>
      <c r="C869" s="306" t="s">
        <v>119</v>
      </c>
      <c r="D869" s="306" t="s">
        <v>979</v>
      </c>
      <c r="E869" s="311">
        <v>1</v>
      </c>
      <c r="F869" s="309">
        <v>1</v>
      </c>
      <c r="G869" s="309">
        <v>0</v>
      </c>
      <c r="H869" s="310">
        <v>46.689300000000003</v>
      </c>
      <c r="I869" s="310">
        <v>40.499200000000002</v>
      </c>
      <c r="J869" s="310">
        <v>46.689300000000003</v>
      </c>
    </row>
    <row r="870" spans="1:10" ht="14.25" customHeight="1" x14ac:dyDescent="0.2">
      <c r="A870" s="306" t="s">
        <v>130</v>
      </c>
      <c r="B870" s="308" t="s">
        <v>980</v>
      </c>
      <c r="C870" s="306" t="s">
        <v>119</v>
      </c>
      <c r="D870" s="306" t="s">
        <v>981</v>
      </c>
      <c r="E870" s="311">
        <v>1</v>
      </c>
      <c r="F870" s="309">
        <v>1</v>
      </c>
      <c r="G870" s="309">
        <v>0</v>
      </c>
      <c r="H870" s="310">
        <v>18.4482</v>
      </c>
      <c r="I870" s="310">
        <v>3.8565999999999998</v>
      </c>
      <c r="J870" s="310">
        <v>18.4482</v>
      </c>
    </row>
    <row r="871" spans="1:10" x14ac:dyDescent="0.2">
      <c r="A871" s="364"/>
      <c r="B871" s="364"/>
      <c r="C871" s="364"/>
      <c r="D871" s="364"/>
      <c r="E871" s="364"/>
      <c r="F871" s="364"/>
      <c r="G871" s="364" t="s">
        <v>438</v>
      </c>
      <c r="H871" s="364"/>
      <c r="I871" s="364"/>
      <c r="J871" s="314">
        <v>65.137500000000003</v>
      </c>
    </row>
    <row r="872" spans="1:10" ht="15" customHeight="1" x14ac:dyDescent="0.2">
      <c r="A872" s="291" t="s">
        <v>724</v>
      </c>
      <c r="B872" s="293" t="s">
        <v>6</v>
      </c>
      <c r="C872" s="291" t="s">
        <v>7</v>
      </c>
      <c r="D872" s="291" t="s">
        <v>160</v>
      </c>
      <c r="E872" s="293" t="s">
        <v>430</v>
      </c>
      <c r="F872" s="363" t="s">
        <v>725</v>
      </c>
      <c r="G872" s="363"/>
      <c r="H872" s="363"/>
      <c r="I872" s="363"/>
      <c r="J872" s="293" t="s">
        <v>433</v>
      </c>
    </row>
    <row r="873" spans="1:10" ht="15" customHeight="1" x14ac:dyDescent="0.2">
      <c r="A873" s="306" t="s">
        <v>130</v>
      </c>
      <c r="B873" s="308" t="s">
        <v>982</v>
      </c>
      <c r="C873" s="306" t="s">
        <v>119</v>
      </c>
      <c r="D873" s="306" t="s">
        <v>983</v>
      </c>
      <c r="E873" s="311">
        <v>1</v>
      </c>
      <c r="F873" s="306"/>
      <c r="G873" s="306"/>
      <c r="H873" s="306"/>
      <c r="I873" s="310">
        <v>20.1587</v>
      </c>
      <c r="J873" s="310">
        <v>20.1587</v>
      </c>
    </row>
    <row r="874" spans="1:10" ht="14.25" customHeight="1" x14ac:dyDescent="0.2">
      <c r="A874" s="306" t="s">
        <v>130</v>
      </c>
      <c r="B874" s="308" t="s">
        <v>984</v>
      </c>
      <c r="C874" s="306" t="s">
        <v>119</v>
      </c>
      <c r="D874" s="306" t="s">
        <v>985</v>
      </c>
      <c r="E874" s="311">
        <v>2</v>
      </c>
      <c r="F874" s="306"/>
      <c r="G874" s="306"/>
      <c r="H874" s="306"/>
      <c r="I874" s="310">
        <v>26.631900000000002</v>
      </c>
      <c r="J874" s="310">
        <v>53.263800000000003</v>
      </c>
    </row>
    <row r="875" spans="1:10" ht="14.25" customHeight="1" x14ac:dyDescent="0.2">
      <c r="A875" s="364"/>
      <c r="B875" s="364"/>
      <c r="C875" s="364"/>
      <c r="D875" s="364"/>
      <c r="E875" s="364"/>
      <c r="F875" s="364"/>
      <c r="G875" s="364" t="s">
        <v>728</v>
      </c>
      <c r="H875" s="364"/>
      <c r="I875" s="364"/>
      <c r="J875" s="314">
        <v>73.422499999999999</v>
      </c>
    </row>
    <row r="876" spans="1:10" ht="14.25" customHeight="1" x14ac:dyDescent="0.2">
      <c r="A876" s="364"/>
      <c r="B876" s="364"/>
      <c r="C876" s="364"/>
      <c r="D876" s="364"/>
      <c r="E876" s="364"/>
      <c r="F876" s="364"/>
      <c r="G876" s="364" t="s">
        <v>729</v>
      </c>
      <c r="H876" s="364"/>
      <c r="I876" s="364"/>
      <c r="J876" s="314">
        <v>0</v>
      </c>
    </row>
    <row r="877" spans="1:10" ht="14.25" customHeight="1" x14ac:dyDescent="0.2">
      <c r="A877" s="364"/>
      <c r="B877" s="364"/>
      <c r="C877" s="364"/>
      <c r="D877" s="364"/>
      <c r="E877" s="364"/>
      <c r="F877" s="364"/>
      <c r="G877" s="364" t="s">
        <v>439</v>
      </c>
      <c r="H877" s="364"/>
      <c r="I877" s="364"/>
      <c r="J877" s="314">
        <v>138.56</v>
      </c>
    </row>
    <row r="878" spans="1:10" ht="14.25" customHeight="1" x14ac:dyDescent="0.2">
      <c r="A878" s="364"/>
      <c r="B878" s="364"/>
      <c r="C878" s="364"/>
      <c r="D878" s="364"/>
      <c r="E878" s="364"/>
      <c r="F878" s="364"/>
      <c r="G878" s="364" t="s">
        <v>440</v>
      </c>
      <c r="H878" s="364"/>
      <c r="I878" s="364"/>
      <c r="J878" s="314">
        <v>0</v>
      </c>
    </row>
    <row r="879" spans="1:10" x14ac:dyDescent="0.2">
      <c r="A879" s="364"/>
      <c r="B879" s="364"/>
      <c r="C879" s="364"/>
      <c r="D879" s="364"/>
      <c r="E879" s="364"/>
      <c r="F879" s="364"/>
      <c r="G879" s="364" t="s">
        <v>441</v>
      </c>
      <c r="H879" s="364"/>
      <c r="I879" s="364"/>
      <c r="J879" s="314">
        <v>0</v>
      </c>
    </row>
    <row r="880" spans="1:10" ht="15" customHeight="1" x14ac:dyDescent="0.2">
      <c r="A880" s="364"/>
      <c r="B880" s="364"/>
      <c r="C880" s="364"/>
      <c r="D880" s="364"/>
      <c r="E880" s="364"/>
      <c r="F880" s="364"/>
      <c r="G880" s="364" t="s">
        <v>442</v>
      </c>
      <c r="H880" s="364"/>
      <c r="I880" s="364"/>
      <c r="J880" s="314">
        <v>19.149999999999999</v>
      </c>
    </row>
    <row r="881" spans="1:10" ht="15" customHeight="1" x14ac:dyDescent="0.2">
      <c r="A881" s="364"/>
      <c r="B881" s="364"/>
      <c r="C881" s="364"/>
      <c r="D881" s="364"/>
      <c r="E881" s="364"/>
      <c r="F881" s="364"/>
      <c r="G881" s="364" t="s">
        <v>443</v>
      </c>
      <c r="H881" s="364"/>
      <c r="I881" s="364"/>
      <c r="J881" s="314">
        <v>7.2355</v>
      </c>
    </row>
    <row r="882" spans="1:10" ht="14.25" customHeight="1" x14ac:dyDescent="0.2">
      <c r="A882" s="291" t="s">
        <v>801</v>
      </c>
      <c r="B882" s="293" t="s">
        <v>7</v>
      </c>
      <c r="C882" s="291" t="s">
        <v>6</v>
      </c>
      <c r="D882" s="291" t="s">
        <v>61</v>
      </c>
      <c r="E882" s="293" t="s">
        <v>430</v>
      </c>
      <c r="F882" s="293" t="s">
        <v>740</v>
      </c>
      <c r="G882" s="363" t="s">
        <v>741</v>
      </c>
      <c r="H882" s="363"/>
      <c r="I882" s="363"/>
      <c r="J882" s="293" t="s">
        <v>433</v>
      </c>
    </row>
    <row r="883" spans="1:10" ht="14.25" customHeight="1" x14ac:dyDescent="0.2">
      <c r="A883" s="306" t="s">
        <v>130</v>
      </c>
      <c r="B883" s="308" t="s">
        <v>119</v>
      </c>
      <c r="C883" s="306" t="s">
        <v>986</v>
      </c>
      <c r="D883" s="306" t="s">
        <v>987</v>
      </c>
      <c r="E883" s="311">
        <v>0.112</v>
      </c>
      <c r="F883" s="307" t="s">
        <v>810</v>
      </c>
      <c r="G883" s="376">
        <v>68.871499999999997</v>
      </c>
      <c r="H883" s="376"/>
      <c r="I883" s="365"/>
      <c r="J883" s="310">
        <v>7.7135999999999996</v>
      </c>
    </row>
    <row r="884" spans="1:10" ht="14.25" customHeight="1" x14ac:dyDescent="0.2">
      <c r="A884" s="364"/>
      <c r="B884" s="364"/>
      <c r="C884" s="364"/>
      <c r="D884" s="364"/>
      <c r="E884" s="364"/>
      <c r="F884" s="364"/>
      <c r="G884" s="364" t="s">
        <v>816</v>
      </c>
      <c r="H884" s="364"/>
      <c r="I884" s="364"/>
      <c r="J884" s="314">
        <v>7.7135999999999996</v>
      </c>
    </row>
    <row r="885" spans="1:10" ht="14.25" customHeight="1" x14ac:dyDescent="0.2">
      <c r="A885" s="291" t="s">
        <v>745</v>
      </c>
      <c r="B885" s="293" t="s">
        <v>7</v>
      </c>
      <c r="C885" s="291" t="s">
        <v>130</v>
      </c>
      <c r="D885" s="291" t="s">
        <v>746</v>
      </c>
      <c r="E885" s="293" t="s">
        <v>6</v>
      </c>
      <c r="F885" s="293" t="s">
        <v>430</v>
      </c>
      <c r="G885" s="292" t="s">
        <v>740</v>
      </c>
      <c r="H885" s="363" t="s">
        <v>741</v>
      </c>
      <c r="I885" s="363"/>
      <c r="J885" s="293" t="s">
        <v>433</v>
      </c>
    </row>
    <row r="886" spans="1:10" ht="25.5" customHeight="1" x14ac:dyDescent="0.2">
      <c r="A886" s="300" t="s">
        <v>747</v>
      </c>
      <c r="B886" s="302" t="s">
        <v>119</v>
      </c>
      <c r="C886" s="300" t="s">
        <v>986</v>
      </c>
      <c r="D886" s="300" t="s">
        <v>924</v>
      </c>
      <c r="E886" s="302">
        <v>5914655</v>
      </c>
      <c r="F886" s="305">
        <v>1.1E-4</v>
      </c>
      <c r="G886" s="301" t="s">
        <v>98</v>
      </c>
      <c r="H886" s="374">
        <v>33.08</v>
      </c>
      <c r="I886" s="368"/>
      <c r="J886" s="304">
        <v>3.5999999999999999E-3</v>
      </c>
    </row>
    <row r="887" spans="1:10" ht="14.25" customHeight="1" x14ac:dyDescent="0.2">
      <c r="A887" s="364"/>
      <c r="B887" s="364"/>
      <c r="C887" s="364"/>
      <c r="D887" s="364"/>
      <c r="E887" s="364"/>
      <c r="F887" s="364"/>
      <c r="G887" s="364" t="s">
        <v>749</v>
      </c>
      <c r="H887" s="364"/>
      <c r="I887" s="364"/>
      <c r="J887" s="314">
        <v>3.5999999999999999E-3</v>
      </c>
    </row>
    <row r="888" spans="1:10" ht="14.25" customHeight="1" x14ac:dyDescent="0.2">
      <c r="A888" s="291" t="s">
        <v>750</v>
      </c>
      <c r="B888" s="293" t="s">
        <v>7</v>
      </c>
      <c r="C888" s="291" t="s">
        <v>130</v>
      </c>
      <c r="D888" s="291" t="s">
        <v>751</v>
      </c>
      <c r="E888" s="293" t="s">
        <v>430</v>
      </c>
      <c r="F888" s="293" t="s">
        <v>740</v>
      </c>
      <c r="G888" s="375" t="s">
        <v>752</v>
      </c>
      <c r="H888" s="363"/>
      <c r="I888" s="363"/>
      <c r="J888" s="293" t="s">
        <v>433</v>
      </c>
    </row>
    <row r="889" spans="1:10" ht="15" x14ac:dyDescent="0.2">
      <c r="A889" s="292"/>
      <c r="B889" s="292"/>
      <c r="C889" s="292"/>
      <c r="D889" s="292"/>
      <c r="E889" s="292"/>
      <c r="F889" s="292"/>
      <c r="G889" s="292" t="s">
        <v>753</v>
      </c>
      <c r="H889" s="292" t="s">
        <v>754</v>
      </c>
      <c r="I889" s="292" t="s">
        <v>755</v>
      </c>
      <c r="J889" s="292"/>
    </row>
    <row r="890" spans="1:10" ht="38.25" x14ac:dyDescent="0.2">
      <c r="A890" s="300" t="s">
        <v>751</v>
      </c>
      <c r="B890" s="302" t="s">
        <v>119</v>
      </c>
      <c r="C890" s="300" t="s">
        <v>986</v>
      </c>
      <c r="D890" s="300" t="s">
        <v>988</v>
      </c>
      <c r="E890" s="305">
        <v>1.1E-4</v>
      </c>
      <c r="F890" s="301" t="s">
        <v>122</v>
      </c>
      <c r="G890" s="302" t="s">
        <v>926</v>
      </c>
      <c r="H890" s="302" t="s">
        <v>927</v>
      </c>
      <c r="I890" s="302" t="s">
        <v>928</v>
      </c>
      <c r="J890" s="304">
        <v>0</v>
      </c>
    </row>
    <row r="891" spans="1:10" x14ac:dyDescent="0.2">
      <c r="A891" s="364"/>
      <c r="B891" s="364"/>
      <c r="C891" s="364"/>
      <c r="D891" s="364"/>
      <c r="E891" s="364"/>
      <c r="F891" s="364"/>
      <c r="G891" s="364" t="s">
        <v>760</v>
      </c>
      <c r="H891" s="364"/>
      <c r="I891" s="364"/>
      <c r="J891" s="314">
        <v>0</v>
      </c>
    </row>
    <row r="892" spans="1:10" x14ac:dyDescent="0.2">
      <c r="A892" s="317"/>
      <c r="B892" s="317"/>
      <c r="C892" s="317"/>
      <c r="D892" s="317"/>
      <c r="E892" s="317"/>
      <c r="F892" s="318"/>
      <c r="G892" s="317"/>
      <c r="H892" s="318"/>
      <c r="I892" s="317"/>
      <c r="J892" s="318"/>
    </row>
    <row r="893" spans="1:10" ht="15" thickBot="1" x14ac:dyDescent="0.25">
      <c r="A893" s="317"/>
      <c r="B893" s="317"/>
      <c r="C893" s="317"/>
      <c r="D893" s="317"/>
      <c r="E893" s="317" t="s">
        <v>123</v>
      </c>
      <c r="F893" s="318">
        <v>3.54</v>
      </c>
      <c r="G893" s="317"/>
      <c r="H893" s="366" t="s">
        <v>124</v>
      </c>
      <c r="I893" s="366"/>
      <c r="J893" s="318">
        <v>18.489999999999998</v>
      </c>
    </row>
    <row r="894" spans="1:10" ht="15" thickTop="1" x14ac:dyDescent="0.2">
      <c r="A894" s="299"/>
      <c r="B894" s="299"/>
      <c r="C894" s="299"/>
      <c r="D894" s="299"/>
      <c r="E894" s="299"/>
      <c r="F894" s="299"/>
      <c r="G894" s="299"/>
      <c r="H894" s="299"/>
      <c r="I894" s="299"/>
      <c r="J894" s="299"/>
    </row>
    <row r="895" spans="1:10" ht="15" customHeight="1" x14ac:dyDescent="0.2">
      <c r="A895" s="291"/>
      <c r="B895" s="293" t="s">
        <v>6</v>
      </c>
      <c r="C895" s="291" t="s">
        <v>7</v>
      </c>
      <c r="D895" s="291" t="s">
        <v>8</v>
      </c>
      <c r="E895" s="367" t="s">
        <v>114</v>
      </c>
      <c r="F895" s="367"/>
      <c r="G895" s="292" t="s">
        <v>9</v>
      </c>
      <c r="H895" s="293" t="s">
        <v>10</v>
      </c>
      <c r="I895" s="293" t="s">
        <v>11</v>
      </c>
      <c r="J895" s="293" t="s">
        <v>12</v>
      </c>
    </row>
    <row r="896" spans="1:10" ht="25.5" x14ac:dyDescent="0.2">
      <c r="A896" s="294" t="s">
        <v>115</v>
      </c>
      <c r="B896" s="296" t="s">
        <v>1013</v>
      </c>
      <c r="C896" s="294" t="s">
        <v>119</v>
      </c>
      <c r="D896" s="294" t="s">
        <v>917</v>
      </c>
      <c r="E896" s="373" t="s">
        <v>121</v>
      </c>
      <c r="F896" s="373"/>
      <c r="G896" s="295" t="s">
        <v>21</v>
      </c>
      <c r="H896" s="298">
        <v>1</v>
      </c>
      <c r="I896" s="297">
        <v>412.92</v>
      </c>
      <c r="J896" s="297">
        <v>412.92</v>
      </c>
    </row>
    <row r="897" spans="1:10" ht="15" x14ac:dyDescent="0.2">
      <c r="A897" s="367" t="s">
        <v>428</v>
      </c>
      <c r="B897" s="363" t="s">
        <v>6</v>
      </c>
      <c r="C897" s="367" t="s">
        <v>7</v>
      </c>
      <c r="D897" s="367" t="s">
        <v>429</v>
      </c>
      <c r="E897" s="363" t="s">
        <v>430</v>
      </c>
      <c r="F897" s="375" t="s">
        <v>431</v>
      </c>
      <c r="G897" s="363"/>
      <c r="H897" s="375" t="s">
        <v>432</v>
      </c>
      <c r="I897" s="363"/>
      <c r="J897" s="363" t="s">
        <v>433</v>
      </c>
    </row>
    <row r="898" spans="1:10" ht="15" x14ac:dyDescent="0.2">
      <c r="A898" s="363"/>
      <c r="B898" s="363"/>
      <c r="C898" s="363"/>
      <c r="D898" s="363"/>
      <c r="E898" s="363"/>
      <c r="F898" s="293" t="s">
        <v>434</v>
      </c>
      <c r="G898" s="293" t="s">
        <v>435</v>
      </c>
      <c r="H898" s="293" t="s">
        <v>434</v>
      </c>
      <c r="I898" s="293" t="s">
        <v>435</v>
      </c>
      <c r="J898" s="363"/>
    </row>
    <row r="899" spans="1:10" x14ac:dyDescent="0.2">
      <c r="A899" s="306" t="s">
        <v>130</v>
      </c>
      <c r="B899" s="308" t="s">
        <v>989</v>
      </c>
      <c r="C899" s="306" t="s">
        <v>119</v>
      </c>
      <c r="D899" s="306" t="s">
        <v>990</v>
      </c>
      <c r="E899" s="311">
        <v>0.15060000000000001</v>
      </c>
      <c r="F899" s="309">
        <v>1</v>
      </c>
      <c r="G899" s="309">
        <v>0</v>
      </c>
      <c r="H899" s="310">
        <v>0.1885</v>
      </c>
      <c r="I899" s="310">
        <v>0.125</v>
      </c>
      <c r="J899" s="310">
        <v>2.8400000000000002E-2</v>
      </c>
    </row>
    <row r="900" spans="1:10" x14ac:dyDescent="0.2">
      <c r="A900" s="306" t="s">
        <v>130</v>
      </c>
      <c r="B900" s="308" t="s">
        <v>980</v>
      </c>
      <c r="C900" s="306" t="s">
        <v>119</v>
      </c>
      <c r="D900" s="306" t="s">
        <v>981</v>
      </c>
      <c r="E900" s="311">
        <v>0.48193000000000003</v>
      </c>
      <c r="F900" s="309">
        <v>1</v>
      </c>
      <c r="G900" s="309">
        <v>0</v>
      </c>
      <c r="H900" s="310">
        <v>18.4482</v>
      </c>
      <c r="I900" s="310">
        <v>3.8565999999999998</v>
      </c>
      <c r="J900" s="310">
        <v>8.8907000000000007</v>
      </c>
    </row>
    <row r="901" spans="1:10" ht="15" customHeight="1" x14ac:dyDescent="0.2">
      <c r="A901" s="306" t="s">
        <v>130</v>
      </c>
      <c r="B901" s="308" t="s">
        <v>991</v>
      </c>
      <c r="C901" s="306" t="s">
        <v>119</v>
      </c>
      <c r="D901" s="306" t="s">
        <v>992</v>
      </c>
      <c r="E901" s="311">
        <v>0.20080000000000001</v>
      </c>
      <c r="F901" s="309">
        <v>1</v>
      </c>
      <c r="G901" s="309">
        <v>0</v>
      </c>
      <c r="H901" s="310">
        <v>14.9505</v>
      </c>
      <c r="I901" s="310">
        <v>9.5033999999999992</v>
      </c>
      <c r="J901" s="310">
        <v>3.0021</v>
      </c>
    </row>
    <row r="902" spans="1:10" x14ac:dyDescent="0.2">
      <c r="A902" s="306" t="s">
        <v>130</v>
      </c>
      <c r="B902" s="308" t="s">
        <v>993</v>
      </c>
      <c r="C902" s="306" t="s">
        <v>119</v>
      </c>
      <c r="D902" s="306" t="s">
        <v>994</v>
      </c>
      <c r="E902" s="311">
        <v>0.48193000000000003</v>
      </c>
      <c r="F902" s="309">
        <v>1</v>
      </c>
      <c r="G902" s="309">
        <v>0</v>
      </c>
      <c r="H902" s="310">
        <v>6.1120999999999999</v>
      </c>
      <c r="I902" s="310">
        <v>3.8852000000000002</v>
      </c>
      <c r="J902" s="310">
        <v>2.9456000000000002</v>
      </c>
    </row>
    <row r="903" spans="1:10" x14ac:dyDescent="0.2">
      <c r="A903" s="364"/>
      <c r="B903" s="364"/>
      <c r="C903" s="364"/>
      <c r="D903" s="364"/>
      <c r="E903" s="364"/>
      <c r="F903" s="364"/>
      <c r="G903" s="364" t="s">
        <v>438</v>
      </c>
      <c r="H903" s="364"/>
      <c r="I903" s="364"/>
      <c r="J903" s="314">
        <v>14.8668</v>
      </c>
    </row>
    <row r="904" spans="1:10" ht="15" x14ac:dyDescent="0.2">
      <c r="A904" s="291" t="s">
        <v>724</v>
      </c>
      <c r="B904" s="293" t="s">
        <v>6</v>
      </c>
      <c r="C904" s="291" t="s">
        <v>7</v>
      </c>
      <c r="D904" s="291" t="s">
        <v>160</v>
      </c>
      <c r="E904" s="293" t="s">
        <v>430</v>
      </c>
      <c r="F904" s="363" t="s">
        <v>725</v>
      </c>
      <c r="G904" s="363"/>
      <c r="H904" s="363"/>
      <c r="I904" s="363"/>
      <c r="J904" s="293" t="s">
        <v>433</v>
      </c>
    </row>
    <row r="905" spans="1:10" x14ac:dyDescent="0.2">
      <c r="A905" s="306" t="s">
        <v>130</v>
      </c>
      <c r="B905" s="308" t="s">
        <v>982</v>
      </c>
      <c r="C905" s="306" t="s">
        <v>119</v>
      </c>
      <c r="D905" s="306" t="s">
        <v>983</v>
      </c>
      <c r="E905" s="311">
        <v>2</v>
      </c>
      <c r="F905" s="306"/>
      <c r="G905" s="306"/>
      <c r="H905" s="306"/>
      <c r="I905" s="310">
        <v>20.1587</v>
      </c>
      <c r="J905" s="310">
        <v>40.317399999999999</v>
      </c>
    </row>
    <row r="906" spans="1:10" x14ac:dyDescent="0.2">
      <c r="A906" s="306" t="s">
        <v>130</v>
      </c>
      <c r="B906" s="308" t="s">
        <v>915</v>
      </c>
      <c r="C906" s="306" t="s">
        <v>119</v>
      </c>
      <c r="D906" s="306" t="s">
        <v>916</v>
      </c>
      <c r="E906" s="311">
        <v>1</v>
      </c>
      <c r="F906" s="306"/>
      <c r="G906" s="306"/>
      <c r="H906" s="306"/>
      <c r="I906" s="310">
        <v>27.5366</v>
      </c>
      <c r="J906" s="310">
        <v>27.5366</v>
      </c>
    </row>
    <row r="907" spans="1:10" ht="15" customHeight="1" x14ac:dyDescent="0.2">
      <c r="A907" s="306" t="s">
        <v>130</v>
      </c>
      <c r="B907" s="308" t="s">
        <v>995</v>
      </c>
      <c r="C907" s="306" t="s">
        <v>119</v>
      </c>
      <c r="D907" s="306" t="s">
        <v>996</v>
      </c>
      <c r="E907" s="311">
        <v>1</v>
      </c>
      <c r="F907" s="306"/>
      <c r="G907" s="306"/>
      <c r="H907" s="306"/>
      <c r="I907" s="310">
        <v>24.7332</v>
      </c>
      <c r="J907" s="310">
        <v>24.7332</v>
      </c>
    </row>
    <row r="908" spans="1:10" x14ac:dyDescent="0.2">
      <c r="A908" s="306" t="s">
        <v>130</v>
      </c>
      <c r="B908" s="308" t="s">
        <v>726</v>
      </c>
      <c r="C908" s="306" t="s">
        <v>119</v>
      </c>
      <c r="D908" s="306" t="s">
        <v>727</v>
      </c>
      <c r="E908" s="311">
        <v>2</v>
      </c>
      <c r="F908" s="306"/>
      <c r="G908" s="306"/>
      <c r="H908" s="306"/>
      <c r="I908" s="310">
        <v>18.924900000000001</v>
      </c>
      <c r="J908" s="310">
        <v>37.849800000000002</v>
      </c>
    </row>
    <row r="909" spans="1:10" x14ac:dyDescent="0.2">
      <c r="A909" s="364"/>
      <c r="B909" s="364"/>
      <c r="C909" s="364"/>
      <c r="D909" s="364"/>
      <c r="E909" s="364"/>
      <c r="F909" s="364"/>
      <c r="G909" s="364" t="s">
        <v>728</v>
      </c>
      <c r="H909" s="364"/>
      <c r="I909" s="364"/>
      <c r="J909" s="314">
        <v>130.43700000000001</v>
      </c>
    </row>
    <row r="910" spans="1:10" x14ac:dyDescent="0.2">
      <c r="A910" s="364"/>
      <c r="B910" s="364"/>
      <c r="C910" s="364"/>
      <c r="D910" s="364"/>
      <c r="E910" s="364"/>
      <c r="F910" s="364"/>
      <c r="G910" s="364" t="s">
        <v>729</v>
      </c>
      <c r="H910" s="364"/>
      <c r="I910" s="364"/>
      <c r="J910" s="314">
        <v>0</v>
      </c>
    </row>
    <row r="911" spans="1:10" x14ac:dyDescent="0.2">
      <c r="A911" s="364"/>
      <c r="B911" s="364"/>
      <c r="C911" s="364"/>
      <c r="D911" s="364"/>
      <c r="E911" s="364"/>
      <c r="F911" s="364"/>
      <c r="G911" s="364" t="s">
        <v>439</v>
      </c>
      <c r="H911" s="364"/>
      <c r="I911" s="364"/>
      <c r="J911" s="314">
        <v>145.3038</v>
      </c>
    </row>
    <row r="912" spans="1:10" x14ac:dyDescent="0.2">
      <c r="A912" s="364"/>
      <c r="B912" s="364"/>
      <c r="C912" s="364"/>
      <c r="D912" s="364"/>
      <c r="E912" s="364"/>
      <c r="F912" s="364"/>
      <c r="G912" s="364" t="s">
        <v>440</v>
      </c>
      <c r="H912" s="364"/>
      <c r="I912" s="364"/>
      <c r="J912" s="314">
        <v>0</v>
      </c>
    </row>
    <row r="913" spans="1:10" ht="15" customHeight="1" x14ac:dyDescent="0.2">
      <c r="A913" s="364"/>
      <c r="B913" s="364"/>
      <c r="C913" s="364"/>
      <c r="D913" s="364"/>
      <c r="E913" s="364"/>
      <c r="F913" s="364"/>
      <c r="G913" s="364" t="s">
        <v>441</v>
      </c>
      <c r="H913" s="364"/>
      <c r="I913" s="364"/>
      <c r="J913" s="314">
        <v>0</v>
      </c>
    </row>
    <row r="914" spans="1:10" x14ac:dyDescent="0.2">
      <c r="A914" s="364"/>
      <c r="B914" s="364"/>
      <c r="C914" s="364"/>
      <c r="D914" s="364"/>
      <c r="E914" s="364"/>
      <c r="F914" s="364"/>
      <c r="G914" s="364" t="s">
        <v>442</v>
      </c>
      <c r="H914" s="364"/>
      <c r="I914" s="364"/>
      <c r="J914" s="314">
        <v>4</v>
      </c>
    </row>
    <row r="915" spans="1:10" x14ac:dyDescent="0.2">
      <c r="A915" s="364"/>
      <c r="B915" s="364"/>
      <c r="C915" s="364"/>
      <c r="D915" s="364"/>
      <c r="E915" s="364"/>
      <c r="F915" s="364"/>
      <c r="G915" s="364" t="s">
        <v>443</v>
      </c>
      <c r="H915" s="364"/>
      <c r="I915" s="364"/>
      <c r="J915" s="314">
        <v>36.325899999999997</v>
      </c>
    </row>
    <row r="916" spans="1:10" ht="15" x14ac:dyDescent="0.2">
      <c r="A916" s="291" t="s">
        <v>801</v>
      </c>
      <c r="B916" s="293" t="s">
        <v>7</v>
      </c>
      <c r="C916" s="291" t="s">
        <v>6</v>
      </c>
      <c r="D916" s="291" t="s">
        <v>61</v>
      </c>
      <c r="E916" s="293" t="s">
        <v>430</v>
      </c>
      <c r="F916" s="293" t="s">
        <v>740</v>
      </c>
      <c r="G916" s="363" t="s">
        <v>741</v>
      </c>
      <c r="H916" s="363"/>
      <c r="I916" s="363"/>
      <c r="J916" s="293" t="s">
        <v>433</v>
      </c>
    </row>
    <row r="917" spans="1:10" x14ac:dyDescent="0.2">
      <c r="A917" s="306" t="s">
        <v>130</v>
      </c>
      <c r="B917" s="308" t="s">
        <v>119</v>
      </c>
      <c r="C917" s="306" t="s">
        <v>997</v>
      </c>
      <c r="D917" s="306" t="s">
        <v>998</v>
      </c>
      <c r="E917" s="311">
        <v>11.775</v>
      </c>
      <c r="F917" s="307" t="s">
        <v>810</v>
      </c>
      <c r="G917" s="376">
        <v>10.352499999999999</v>
      </c>
      <c r="H917" s="376"/>
      <c r="I917" s="365"/>
      <c r="J917" s="310">
        <v>121.9007</v>
      </c>
    </row>
    <row r="918" spans="1:10" ht="25.5" x14ac:dyDescent="0.2">
      <c r="A918" s="306" t="s">
        <v>130</v>
      </c>
      <c r="B918" s="308" t="s">
        <v>119</v>
      </c>
      <c r="C918" s="306" t="s">
        <v>999</v>
      </c>
      <c r="D918" s="306" t="s">
        <v>1000</v>
      </c>
      <c r="E918" s="311">
        <v>1</v>
      </c>
      <c r="F918" s="307" t="s">
        <v>21</v>
      </c>
      <c r="G918" s="376">
        <v>239.33510000000001</v>
      </c>
      <c r="H918" s="376"/>
      <c r="I918" s="365"/>
      <c r="J918" s="310">
        <v>239.33510000000001</v>
      </c>
    </row>
    <row r="919" spans="1:10" x14ac:dyDescent="0.2">
      <c r="A919" s="364"/>
      <c r="B919" s="364"/>
      <c r="C919" s="364"/>
      <c r="D919" s="364"/>
      <c r="E919" s="364"/>
      <c r="F919" s="364"/>
      <c r="G919" s="364" t="s">
        <v>816</v>
      </c>
      <c r="H919" s="364"/>
      <c r="I919" s="364"/>
      <c r="J919" s="314">
        <v>361.23579999999998</v>
      </c>
    </row>
    <row r="920" spans="1:10" ht="15" x14ac:dyDescent="0.2">
      <c r="A920" s="291" t="s">
        <v>738</v>
      </c>
      <c r="B920" s="293" t="s">
        <v>7</v>
      </c>
      <c r="C920" s="291" t="s">
        <v>6</v>
      </c>
      <c r="D920" s="291" t="s">
        <v>739</v>
      </c>
      <c r="E920" s="293" t="s">
        <v>430</v>
      </c>
      <c r="F920" s="293" t="s">
        <v>740</v>
      </c>
      <c r="G920" s="363" t="s">
        <v>741</v>
      </c>
      <c r="H920" s="363"/>
      <c r="I920" s="363"/>
      <c r="J920" s="293" t="s">
        <v>433</v>
      </c>
    </row>
    <row r="921" spans="1:10" ht="26.25" customHeight="1" x14ac:dyDescent="0.2">
      <c r="A921" s="300" t="s">
        <v>742</v>
      </c>
      <c r="B921" s="302" t="s">
        <v>119</v>
      </c>
      <c r="C921" s="300">
        <v>5212552</v>
      </c>
      <c r="D921" s="300" t="s">
        <v>977</v>
      </c>
      <c r="E921" s="305">
        <v>1</v>
      </c>
      <c r="F921" s="301" t="s">
        <v>21</v>
      </c>
      <c r="G921" s="374">
        <v>14.95</v>
      </c>
      <c r="H921" s="374"/>
      <c r="I921" s="368"/>
      <c r="J921" s="304">
        <v>14.95</v>
      </c>
    </row>
    <row r="922" spans="1:10" x14ac:dyDescent="0.2">
      <c r="A922" s="364"/>
      <c r="B922" s="364"/>
      <c r="C922" s="364"/>
      <c r="D922" s="364"/>
      <c r="E922" s="364"/>
      <c r="F922" s="364"/>
      <c r="G922" s="364" t="s">
        <v>744</v>
      </c>
      <c r="H922" s="364"/>
      <c r="I922" s="364"/>
      <c r="J922" s="314">
        <v>14.95</v>
      </c>
    </row>
    <row r="923" spans="1:10" ht="15" x14ac:dyDescent="0.2">
      <c r="A923" s="291" t="s">
        <v>745</v>
      </c>
      <c r="B923" s="293" t="s">
        <v>7</v>
      </c>
      <c r="C923" s="291" t="s">
        <v>130</v>
      </c>
      <c r="D923" s="291" t="s">
        <v>746</v>
      </c>
      <c r="E923" s="293" t="s">
        <v>6</v>
      </c>
      <c r="F923" s="293" t="s">
        <v>430</v>
      </c>
      <c r="G923" s="292" t="s">
        <v>740</v>
      </c>
      <c r="H923" s="363" t="s">
        <v>741</v>
      </c>
      <c r="I923" s="363"/>
      <c r="J923" s="293" t="s">
        <v>433</v>
      </c>
    </row>
    <row r="924" spans="1:10" ht="25.5" x14ac:dyDescent="0.2">
      <c r="A924" s="300" t="s">
        <v>747</v>
      </c>
      <c r="B924" s="302" t="s">
        <v>119</v>
      </c>
      <c r="C924" s="300" t="s">
        <v>997</v>
      </c>
      <c r="D924" s="300" t="s">
        <v>950</v>
      </c>
      <c r="E924" s="302">
        <v>5914333</v>
      </c>
      <c r="F924" s="305">
        <v>1.1780000000000001E-2</v>
      </c>
      <c r="G924" s="301" t="s">
        <v>98</v>
      </c>
      <c r="H924" s="374">
        <v>33.840000000000003</v>
      </c>
      <c r="I924" s="368"/>
      <c r="J924" s="304">
        <v>0.39860000000000001</v>
      </c>
    </row>
    <row r="925" spans="1:10" ht="25.5" x14ac:dyDescent="0.2">
      <c r="A925" s="300" t="s">
        <v>747</v>
      </c>
      <c r="B925" s="302" t="s">
        <v>119</v>
      </c>
      <c r="C925" s="300" t="s">
        <v>999</v>
      </c>
      <c r="D925" s="300" t="s">
        <v>924</v>
      </c>
      <c r="E925" s="302">
        <v>5914655</v>
      </c>
      <c r="F925" s="305">
        <v>4.4000000000000002E-4</v>
      </c>
      <c r="G925" s="301" t="s">
        <v>98</v>
      </c>
      <c r="H925" s="374">
        <v>33.08</v>
      </c>
      <c r="I925" s="368"/>
      <c r="J925" s="304">
        <v>1.46E-2</v>
      </c>
    </row>
    <row r="926" spans="1:10" x14ac:dyDescent="0.2">
      <c r="A926" s="364"/>
      <c r="B926" s="364"/>
      <c r="C926" s="364"/>
      <c r="D926" s="364"/>
      <c r="E926" s="364"/>
      <c r="F926" s="364"/>
      <c r="G926" s="364" t="s">
        <v>749</v>
      </c>
      <c r="H926" s="364"/>
      <c r="I926" s="364"/>
      <c r="J926" s="314">
        <v>0.41320000000000001</v>
      </c>
    </row>
    <row r="927" spans="1:10" ht="15" x14ac:dyDescent="0.2">
      <c r="A927" s="291" t="s">
        <v>750</v>
      </c>
      <c r="B927" s="293" t="s">
        <v>7</v>
      </c>
      <c r="C927" s="291" t="s">
        <v>130</v>
      </c>
      <c r="D927" s="291" t="s">
        <v>751</v>
      </c>
      <c r="E927" s="293" t="s">
        <v>430</v>
      </c>
      <c r="F927" s="293" t="s">
        <v>740</v>
      </c>
      <c r="G927" s="375" t="s">
        <v>752</v>
      </c>
      <c r="H927" s="363"/>
      <c r="I927" s="363"/>
      <c r="J927" s="293" t="s">
        <v>433</v>
      </c>
    </row>
    <row r="928" spans="1:10" ht="15" x14ac:dyDescent="0.2">
      <c r="A928" s="292"/>
      <c r="B928" s="292"/>
      <c r="C928" s="292"/>
      <c r="D928" s="292"/>
      <c r="E928" s="292"/>
      <c r="F928" s="292"/>
      <c r="G928" s="292" t="s">
        <v>753</v>
      </c>
      <c r="H928" s="292" t="s">
        <v>754</v>
      </c>
      <c r="I928" s="292" t="s">
        <v>755</v>
      </c>
      <c r="J928" s="292"/>
    </row>
    <row r="929" spans="1:10" ht="38.25" x14ac:dyDescent="0.2">
      <c r="A929" s="300" t="s">
        <v>751</v>
      </c>
      <c r="B929" s="302" t="s">
        <v>119</v>
      </c>
      <c r="C929" s="300" t="s">
        <v>997</v>
      </c>
      <c r="D929" s="300" t="s">
        <v>1001</v>
      </c>
      <c r="E929" s="305">
        <v>1.1780000000000001E-2</v>
      </c>
      <c r="F929" s="301" t="s">
        <v>122</v>
      </c>
      <c r="G929" s="302" t="s">
        <v>926</v>
      </c>
      <c r="H929" s="302" t="s">
        <v>927</v>
      </c>
      <c r="I929" s="302" t="s">
        <v>928</v>
      </c>
      <c r="J929" s="304">
        <v>0</v>
      </c>
    </row>
    <row r="930" spans="1:10" ht="38.25" x14ac:dyDescent="0.2">
      <c r="A930" s="300" t="s">
        <v>751</v>
      </c>
      <c r="B930" s="302" t="s">
        <v>119</v>
      </c>
      <c r="C930" s="300" t="s">
        <v>999</v>
      </c>
      <c r="D930" s="300" t="s">
        <v>1002</v>
      </c>
      <c r="E930" s="305">
        <v>4.4000000000000002E-4</v>
      </c>
      <c r="F930" s="301" t="s">
        <v>122</v>
      </c>
      <c r="G930" s="302" t="s">
        <v>926</v>
      </c>
      <c r="H930" s="302" t="s">
        <v>927</v>
      </c>
      <c r="I930" s="302" t="s">
        <v>928</v>
      </c>
      <c r="J930" s="304">
        <v>0</v>
      </c>
    </row>
    <row r="931" spans="1:10" x14ac:dyDescent="0.2">
      <c r="A931" s="364"/>
      <c r="B931" s="364"/>
      <c r="C931" s="364"/>
      <c r="D931" s="364"/>
      <c r="E931" s="364"/>
      <c r="F931" s="364"/>
      <c r="G931" s="364" t="s">
        <v>760</v>
      </c>
      <c r="H931" s="364"/>
      <c r="I931" s="364"/>
      <c r="J931" s="314">
        <v>0</v>
      </c>
    </row>
    <row r="932" spans="1:10" x14ac:dyDescent="0.2">
      <c r="A932" s="317"/>
      <c r="B932" s="317"/>
      <c r="C932" s="317"/>
      <c r="D932" s="317"/>
      <c r="E932" s="317"/>
      <c r="F932" s="318"/>
      <c r="G932" s="317"/>
      <c r="H932" s="318"/>
      <c r="I932" s="317"/>
      <c r="J932" s="318"/>
    </row>
    <row r="933" spans="1:10" ht="15" thickBot="1" x14ac:dyDescent="0.25">
      <c r="A933" s="317"/>
      <c r="B933" s="317"/>
      <c r="C933" s="317"/>
      <c r="D933" s="317"/>
      <c r="E933" s="317" t="s">
        <v>123</v>
      </c>
      <c r="F933" s="318">
        <v>97.86</v>
      </c>
      <c r="G933" s="317"/>
      <c r="H933" s="366" t="s">
        <v>124</v>
      </c>
      <c r="I933" s="366"/>
      <c r="J933" s="318">
        <v>510.78</v>
      </c>
    </row>
    <row r="934" spans="1:10" ht="15" thickTop="1" x14ac:dyDescent="0.2">
      <c r="A934" s="299"/>
      <c r="B934" s="299"/>
      <c r="C934" s="299"/>
      <c r="D934" s="299"/>
      <c r="E934" s="299"/>
      <c r="F934" s="299"/>
      <c r="G934" s="299"/>
      <c r="H934" s="299"/>
      <c r="I934" s="299"/>
      <c r="J934" s="299"/>
    </row>
    <row r="935" spans="1:10" ht="15" x14ac:dyDescent="0.2">
      <c r="A935" s="291"/>
      <c r="B935" s="293" t="s">
        <v>6</v>
      </c>
      <c r="C935" s="291" t="s">
        <v>7</v>
      </c>
      <c r="D935" s="291" t="s">
        <v>8</v>
      </c>
      <c r="E935" s="367" t="s">
        <v>114</v>
      </c>
      <c r="F935" s="367"/>
      <c r="G935" s="292" t="s">
        <v>9</v>
      </c>
      <c r="H935" s="293" t="s">
        <v>10</v>
      </c>
      <c r="I935" s="293" t="s">
        <v>11</v>
      </c>
      <c r="J935" s="293" t="s">
        <v>12</v>
      </c>
    </row>
    <row r="936" spans="1:10" x14ac:dyDescent="0.2">
      <c r="A936" s="294" t="s">
        <v>115</v>
      </c>
      <c r="B936" s="296" t="s">
        <v>125</v>
      </c>
      <c r="C936" s="294" t="s">
        <v>38</v>
      </c>
      <c r="D936" s="294" t="s">
        <v>126</v>
      </c>
      <c r="E936" s="373" t="s">
        <v>116</v>
      </c>
      <c r="F936" s="373"/>
      <c r="G936" s="295" t="s">
        <v>127</v>
      </c>
      <c r="H936" s="298">
        <v>1</v>
      </c>
      <c r="I936" s="297">
        <v>19.920000000000002</v>
      </c>
      <c r="J936" s="297">
        <v>19.920000000000002</v>
      </c>
    </row>
    <row r="937" spans="1:10" ht="26.25" customHeight="1" x14ac:dyDescent="0.2">
      <c r="A937" s="300" t="s">
        <v>117</v>
      </c>
      <c r="B937" s="302" t="s">
        <v>332</v>
      </c>
      <c r="C937" s="300" t="s">
        <v>38</v>
      </c>
      <c r="D937" s="300" t="s">
        <v>333</v>
      </c>
      <c r="E937" s="368" t="s">
        <v>116</v>
      </c>
      <c r="F937" s="368"/>
      <c r="G937" s="301" t="s">
        <v>127</v>
      </c>
      <c r="H937" s="305">
        <v>1</v>
      </c>
      <c r="I937" s="303">
        <v>0.2</v>
      </c>
      <c r="J937" s="303">
        <v>0.2</v>
      </c>
    </row>
    <row r="938" spans="1:10" x14ac:dyDescent="0.2">
      <c r="A938" s="306" t="s">
        <v>130</v>
      </c>
      <c r="B938" s="308" t="s">
        <v>264</v>
      </c>
      <c r="C938" s="306" t="s">
        <v>38</v>
      </c>
      <c r="D938" s="306" t="s">
        <v>265</v>
      </c>
      <c r="E938" s="365" t="s">
        <v>225</v>
      </c>
      <c r="F938" s="365"/>
      <c r="G938" s="307" t="s">
        <v>127</v>
      </c>
      <c r="H938" s="311">
        <v>1</v>
      </c>
      <c r="I938" s="309">
        <v>3.84</v>
      </c>
      <c r="J938" s="309">
        <v>3.84</v>
      </c>
    </row>
    <row r="939" spans="1:10" ht="25.5" x14ac:dyDescent="0.2">
      <c r="A939" s="306" t="s">
        <v>130</v>
      </c>
      <c r="B939" s="308" t="s">
        <v>424</v>
      </c>
      <c r="C939" s="306" t="s">
        <v>38</v>
      </c>
      <c r="D939" s="306" t="s">
        <v>425</v>
      </c>
      <c r="E939" s="365" t="s">
        <v>148</v>
      </c>
      <c r="F939" s="365"/>
      <c r="G939" s="307" t="s">
        <v>127</v>
      </c>
      <c r="H939" s="311">
        <v>1</v>
      </c>
      <c r="I939" s="309">
        <v>1.1499999999999999</v>
      </c>
      <c r="J939" s="309">
        <v>1.1499999999999999</v>
      </c>
    </row>
    <row r="940" spans="1:10" x14ac:dyDescent="0.2">
      <c r="A940" s="306" t="s">
        <v>130</v>
      </c>
      <c r="B940" s="308" t="s">
        <v>223</v>
      </c>
      <c r="C940" s="306" t="s">
        <v>38</v>
      </c>
      <c r="D940" s="306" t="s">
        <v>224</v>
      </c>
      <c r="E940" s="365" t="s">
        <v>225</v>
      </c>
      <c r="F940" s="365"/>
      <c r="G940" s="307" t="s">
        <v>127</v>
      </c>
      <c r="H940" s="311">
        <v>1</v>
      </c>
      <c r="I940" s="309">
        <v>0.81</v>
      </c>
      <c r="J940" s="309">
        <v>0.81</v>
      </c>
    </row>
    <row r="941" spans="1:10" ht="25.5" x14ac:dyDescent="0.2">
      <c r="A941" s="306" t="s">
        <v>130</v>
      </c>
      <c r="B941" s="308" t="s">
        <v>426</v>
      </c>
      <c r="C941" s="306" t="s">
        <v>38</v>
      </c>
      <c r="D941" s="306" t="s">
        <v>427</v>
      </c>
      <c r="E941" s="365" t="s">
        <v>148</v>
      </c>
      <c r="F941" s="365"/>
      <c r="G941" s="307" t="s">
        <v>127</v>
      </c>
      <c r="H941" s="311">
        <v>1</v>
      </c>
      <c r="I941" s="309">
        <v>0.56000000000000005</v>
      </c>
      <c r="J941" s="309">
        <v>0.56000000000000005</v>
      </c>
    </row>
    <row r="942" spans="1:10" x14ac:dyDescent="0.2">
      <c r="A942" s="306" t="s">
        <v>130</v>
      </c>
      <c r="B942" s="308" t="s">
        <v>228</v>
      </c>
      <c r="C942" s="306" t="s">
        <v>38</v>
      </c>
      <c r="D942" s="306" t="s">
        <v>229</v>
      </c>
      <c r="E942" s="365" t="s">
        <v>230</v>
      </c>
      <c r="F942" s="365"/>
      <c r="G942" s="307" t="s">
        <v>127</v>
      </c>
      <c r="H942" s="311">
        <v>1</v>
      </c>
      <c r="I942" s="309">
        <v>0.06</v>
      </c>
      <c r="J942" s="309">
        <v>0.06</v>
      </c>
    </row>
    <row r="943" spans="1:10" ht="15" customHeight="1" x14ac:dyDescent="0.2">
      <c r="A943" s="306" t="s">
        <v>130</v>
      </c>
      <c r="B943" s="308" t="s">
        <v>247</v>
      </c>
      <c r="C943" s="306" t="s">
        <v>38</v>
      </c>
      <c r="D943" s="306" t="s">
        <v>248</v>
      </c>
      <c r="E943" s="365" t="s">
        <v>160</v>
      </c>
      <c r="F943" s="365"/>
      <c r="G943" s="307" t="s">
        <v>127</v>
      </c>
      <c r="H943" s="311">
        <v>1</v>
      </c>
      <c r="I943" s="309">
        <v>12.11</v>
      </c>
      <c r="J943" s="309">
        <v>12.11</v>
      </c>
    </row>
    <row r="944" spans="1:10" x14ac:dyDescent="0.2">
      <c r="A944" s="306" t="s">
        <v>130</v>
      </c>
      <c r="B944" s="308" t="s">
        <v>270</v>
      </c>
      <c r="C944" s="306" t="s">
        <v>38</v>
      </c>
      <c r="D944" s="306" t="s">
        <v>271</v>
      </c>
      <c r="E944" s="365" t="s">
        <v>272</v>
      </c>
      <c r="F944" s="365"/>
      <c r="G944" s="307" t="s">
        <v>127</v>
      </c>
      <c r="H944" s="311">
        <v>1</v>
      </c>
      <c r="I944" s="309">
        <v>1.19</v>
      </c>
      <c r="J944" s="309">
        <v>1.19</v>
      </c>
    </row>
    <row r="945" spans="1:10" x14ac:dyDescent="0.2">
      <c r="A945" s="317"/>
      <c r="B945" s="317"/>
      <c r="C945" s="317"/>
      <c r="D945" s="317"/>
      <c r="E945" s="317"/>
      <c r="F945" s="318"/>
      <c r="G945" s="317"/>
      <c r="H945" s="318"/>
      <c r="I945" s="317"/>
      <c r="J945" s="318"/>
    </row>
    <row r="946" spans="1:10" ht="15" thickBot="1" x14ac:dyDescent="0.25">
      <c r="A946" s="317"/>
      <c r="B946" s="317"/>
      <c r="C946" s="317"/>
      <c r="D946" s="317"/>
      <c r="E946" s="317" t="s">
        <v>123</v>
      </c>
      <c r="F946" s="318">
        <v>4.72</v>
      </c>
      <c r="G946" s="317"/>
      <c r="H946" s="366" t="s">
        <v>124</v>
      </c>
      <c r="I946" s="366"/>
      <c r="J946" s="318">
        <v>24.64</v>
      </c>
    </row>
    <row r="947" spans="1:10" ht="15" thickTop="1" x14ac:dyDescent="0.2">
      <c r="A947" s="299"/>
      <c r="B947" s="299"/>
      <c r="C947" s="299"/>
      <c r="D947" s="299"/>
      <c r="E947" s="299"/>
      <c r="F947" s="299"/>
      <c r="G947" s="299"/>
      <c r="H947" s="299"/>
      <c r="I947" s="299"/>
      <c r="J947" s="299"/>
    </row>
    <row r="948" spans="1:10" ht="15" x14ac:dyDescent="0.2">
      <c r="A948" s="291"/>
      <c r="B948" s="293" t="s">
        <v>6</v>
      </c>
      <c r="C948" s="291" t="s">
        <v>7</v>
      </c>
      <c r="D948" s="291" t="s">
        <v>8</v>
      </c>
      <c r="E948" s="367" t="s">
        <v>114</v>
      </c>
      <c r="F948" s="367"/>
      <c r="G948" s="292" t="s">
        <v>9</v>
      </c>
      <c r="H948" s="293" t="s">
        <v>10</v>
      </c>
      <c r="I948" s="293" t="s">
        <v>11</v>
      </c>
      <c r="J948" s="293" t="s">
        <v>12</v>
      </c>
    </row>
    <row r="949" spans="1:10" ht="26.25" customHeight="1" x14ac:dyDescent="0.2">
      <c r="A949" s="294" t="s">
        <v>115</v>
      </c>
      <c r="B949" s="296" t="s">
        <v>172</v>
      </c>
      <c r="C949" s="294" t="s">
        <v>38</v>
      </c>
      <c r="D949" s="294" t="s">
        <v>173</v>
      </c>
      <c r="E949" s="373" t="s">
        <v>116</v>
      </c>
      <c r="F949" s="373"/>
      <c r="G949" s="295" t="s">
        <v>127</v>
      </c>
      <c r="H949" s="298">
        <v>1</v>
      </c>
      <c r="I949" s="297">
        <v>28.64</v>
      </c>
      <c r="J949" s="297">
        <v>28.64</v>
      </c>
    </row>
    <row r="950" spans="1:10" ht="25.5" x14ac:dyDescent="0.2">
      <c r="A950" s="300" t="s">
        <v>117</v>
      </c>
      <c r="B950" s="302" t="s">
        <v>334</v>
      </c>
      <c r="C950" s="300" t="s">
        <v>38</v>
      </c>
      <c r="D950" s="300" t="s">
        <v>335</v>
      </c>
      <c r="E950" s="368" t="s">
        <v>116</v>
      </c>
      <c r="F950" s="368"/>
      <c r="G950" s="301" t="s">
        <v>127</v>
      </c>
      <c r="H950" s="305">
        <v>1</v>
      </c>
      <c r="I950" s="303">
        <v>0.38</v>
      </c>
      <c r="J950" s="303">
        <v>0.38</v>
      </c>
    </row>
    <row r="951" spans="1:10" ht="25.5" x14ac:dyDescent="0.2">
      <c r="A951" s="306" t="s">
        <v>130</v>
      </c>
      <c r="B951" s="308" t="s">
        <v>342</v>
      </c>
      <c r="C951" s="306" t="s">
        <v>38</v>
      </c>
      <c r="D951" s="306" t="s">
        <v>343</v>
      </c>
      <c r="E951" s="365" t="s">
        <v>148</v>
      </c>
      <c r="F951" s="365"/>
      <c r="G951" s="307" t="s">
        <v>127</v>
      </c>
      <c r="H951" s="311">
        <v>1</v>
      </c>
      <c r="I951" s="309">
        <v>0.62</v>
      </c>
      <c r="J951" s="309">
        <v>0.62</v>
      </c>
    </row>
    <row r="952" spans="1:10" x14ac:dyDescent="0.2">
      <c r="A952" s="306" t="s">
        <v>130</v>
      </c>
      <c r="B952" s="308" t="s">
        <v>223</v>
      </c>
      <c r="C952" s="306" t="s">
        <v>38</v>
      </c>
      <c r="D952" s="306" t="s">
        <v>224</v>
      </c>
      <c r="E952" s="365" t="s">
        <v>225</v>
      </c>
      <c r="F952" s="365"/>
      <c r="G952" s="307" t="s">
        <v>127</v>
      </c>
      <c r="H952" s="311">
        <v>1</v>
      </c>
      <c r="I952" s="309">
        <v>0.81</v>
      </c>
      <c r="J952" s="309">
        <v>0.81</v>
      </c>
    </row>
    <row r="953" spans="1:10" ht="25.5" x14ac:dyDescent="0.2">
      <c r="A953" s="306" t="s">
        <v>130</v>
      </c>
      <c r="B953" s="308" t="s">
        <v>344</v>
      </c>
      <c r="C953" s="306" t="s">
        <v>38</v>
      </c>
      <c r="D953" s="306" t="s">
        <v>345</v>
      </c>
      <c r="E953" s="365" t="s">
        <v>148</v>
      </c>
      <c r="F953" s="365"/>
      <c r="G953" s="307" t="s">
        <v>127</v>
      </c>
      <c r="H953" s="311">
        <v>1</v>
      </c>
      <c r="I953" s="309">
        <v>7.0000000000000007E-2</v>
      </c>
      <c r="J953" s="309">
        <v>7.0000000000000007E-2</v>
      </c>
    </row>
    <row r="954" spans="1:10" x14ac:dyDescent="0.2">
      <c r="A954" s="306" t="s">
        <v>130</v>
      </c>
      <c r="B954" s="308" t="s">
        <v>228</v>
      </c>
      <c r="C954" s="306" t="s">
        <v>38</v>
      </c>
      <c r="D954" s="306" t="s">
        <v>229</v>
      </c>
      <c r="E954" s="365" t="s">
        <v>230</v>
      </c>
      <c r="F954" s="365"/>
      <c r="G954" s="307" t="s">
        <v>127</v>
      </c>
      <c r="H954" s="311">
        <v>1</v>
      </c>
      <c r="I954" s="309">
        <v>0.06</v>
      </c>
      <c r="J954" s="309">
        <v>0.06</v>
      </c>
    </row>
    <row r="955" spans="1:10" ht="15" customHeight="1" x14ac:dyDescent="0.2">
      <c r="A955" s="306" t="s">
        <v>130</v>
      </c>
      <c r="B955" s="308" t="s">
        <v>336</v>
      </c>
      <c r="C955" s="306" t="s">
        <v>38</v>
      </c>
      <c r="D955" s="306" t="s">
        <v>337</v>
      </c>
      <c r="E955" s="365" t="s">
        <v>160</v>
      </c>
      <c r="F955" s="365"/>
      <c r="G955" s="307" t="s">
        <v>127</v>
      </c>
      <c r="H955" s="311">
        <v>1</v>
      </c>
      <c r="I955" s="309">
        <v>26.7</v>
      </c>
      <c r="J955" s="309">
        <v>26.7</v>
      </c>
    </row>
    <row r="956" spans="1:10" x14ac:dyDescent="0.2">
      <c r="A956" s="317"/>
      <c r="B956" s="317"/>
      <c r="C956" s="317"/>
      <c r="D956" s="317"/>
      <c r="E956" s="317"/>
      <c r="F956" s="318"/>
      <c r="G956" s="317"/>
      <c r="H956" s="318"/>
      <c r="I956" s="317"/>
      <c r="J956" s="318"/>
    </row>
    <row r="957" spans="1:10" ht="15" thickBot="1" x14ac:dyDescent="0.25">
      <c r="A957" s="317"/>
      <c r="B957" s="317"/>
      <c r="C957" s="317"/>
      <c r="D957" s="317"/>
      <c r="E957" s="317" t="s">
        <v>123</v>
      </c>
      <c r="F957" s="318">
        <v>6.78</v>
      </c>
      <c r="G957" s="317"/>
      <c r="H957" s="366" t="s">
        <v>124</v>
      </c>
      <c r="I957" s="366"/>
      <c r="J957" s="318">
        <v>35.42</v>
      </c>
    </row>
    <row r="958" spans="1:10" ht="15" thickTop="1" x14ac:dyDescent="0.2">
      <c r="A958" s="299"/>
      <c r="B958" s="299"/>
      <c r="C958" s="299"/>
      <c r="D958" s="299"/>
      <c r="E958" s="299"/>
      <c r="F958" s="299"/>
      <c r="G958" s="299"/>
      <c r="H958" s="299"/>
      <c r="I958" s="299"/>
      <c r="J958" s="299"/>
    </row>
    <row r="959" spans="1:10" ht="15" x14ac:dyDescent="0.2">
      <c r="A959" s="291"/>
      <c r="B959" s="293" t="s">
        <v>6</v>
      </c>
      <c r="C959" s="291" t="s">
        <v>7</v>
      </c>
      <c r="D959" s="291" t="s">
        <v>8</v>
      </c>
      <c r="E959" s="367" t="s">
        <v>114</v>
      </c>
      <c r="F959" s="367"/>
      <c r="G959" s="292" t="s">
        <v>9</v>
      </c>
      <c r="H959" s="293" t="s">
        <v>10</v>
      </c>
      <c r="I959" s="293" t="s">
        <v>11</v>
      </c>
      <c r="J959" s="293" t="s">
        <v>12</v>
      </c>
    </row>
    <row r="960" spans="1:10" x14ac:dyDescent="0.2">
      <c r="A960" s="294" t="s">
        <v>115</v>
      </c>
      <c r="B960" s="296" t="s">
        <v>784</v>
      </c>
      <c r="C960" s="294" t="s">
        <v>119</v>
      </c>
      <c r="D960" s="294" t="s">
        <v>785</v>
      </c>
      <c r="E960" s="373" t="s">
        <v>121</v>
      </c>
      <c r="F960" s="373"/>
      <c r="G960" s="295" t="s">
        <v>122</v>
      </c>
      <c r="H960" s="298">
        <v>1</v>
      </c>
      <c r="I960" s="297">
        <v>1.19</v>
      </c>
      <c r="J960" s="297">
        <v>1.19</v>
      </c>
    </row>
    <row r="961" spans="1:10" ht="15" x14ac:dyDescent="0.2">
      <c r="A961" s="367" t="s">
        <v>428</v>
      </c>
      <c r="B961" s="363" t="s">
        <v>6</v>
      </c>
      <c r="C961" s="367" t="s">
        <v>7</v>
      </c>
      <c r="D961" s="367" t="s">
        <v>429</v>
      </c>
      <c r="E961" s="363" t="s">
        <v>430</v>
      </c>
      <c r="F961" s="375" t="s">
        <v>431</v>
      </c>
      <c r="G961" s="363"/>
      <c r="H961" s="375" t="s">
        <v>432</v>
      </c>
      <c r="I961" s="363"/>
      <c r="J961" s="363" t="s">
        <v>433</v>
      </c>
    </row>
    <row r="962" spans="1:10" ht="15" x14ac:dyDescent="0.2">
      <c r="A962" s="363"/>
      <c r="B962" s="363"/>
      <c r="C962" s="363"/>
      <c r="D962" s="363"/>
      <c r="E962" s="363"/>
      <c r="F962" s="293" t="s">
        <v>434</v>
      </c>
      <c r="G962" s="293" t="s">
        <v>435</v>
      </c>
      <c r="H962" s="293" t="s">
        <v>434</v>
      </c>
      <c r="I962" s="293" t="s">
        <v>435</v>
      </c>
      <c r="J962" s="363"/>
    </row>
    <row r="963" spans="1:10" ht="15" customHeight="1" x14ac:dyDescent="0.2">
      <c r="A963" s="306" t="s">
        <v>130</v>
      </c>
      <c r="B963" s="308" t="s">
        <v>763</v>
      </c>
      <c r="C963" s="306" t="s">
        <v>119</v>
      </c>
      <c r="D963" s="306" t="s">
        <v>764</v>
      </c>
      <c r="E963" s="311">
        <v>1</v>
      </c>
      <c r="F963" s="309">
        <v>1</v>
      </c>
      <c r="G963" s="309">
        <v>0</v>
      </c>
      <c r="H963" s="310">
        <v>292.44139999999999</v>
      </c>
      <c r="I963" s="310">
        <v>82.760599999999997</v>
      </c>
      <c r="J963" s="310">
        <v>292.44139999999999</v>
      </c>
    </row>
    <row r="964" spans="1:10" x14ac:dyDescent="0.2">
      <c r="A964" s="364"/>
      <c r="B964" s="364"/>
      <c r="C964" s="364"/>
      <c r="D964" s="364"/>
      <c r="E964" s="364"/>
      <c r="F964" s="364"/>
      <c r="G964" s="364" t="s">
        <v>438</v>
      </c>
      <c r="H964" s="364"/>
      <c r="I964" s="364"/>
      <c r="J964" s="314">
        <v>292.44139999999999</v>
      </c>
    </row>
    <row r="965" spans="1:10" x14ac:dyDescent="0.2">
      <c r="A965" s="364"/>
      <c r="B965" s="364"/>
      <c r="C965" s="364"/>
      <c r="D965" s="364"/>
      <c r="E965" s="364"/>
      <c r="F965" s="364"/>
      <c r="G965" s="364" t="s">
        <v>439</v>
      </c>
      <c r="H965" s="364"/>
      <c r="I965" s="364"/>
      <c r="J965" s="314">
        <v>292.44139999999999</v>
      </c>
    </row>
    <row r="966" spans="1:10" x14ac:dyDescent="0.2">
      <c r="A966" s="364"/>
      <c r="B966" s="364"/>
      <c r="C966" s="364"/>
      <c r="D966" s="364"/>
      <c r="E966" s="364"/>
      <c r="F966" s="364"/>
      <c r="G966" s="364" t="s">
        <v>440</v>
      </c>
      <c r="H966" s="364"/>
      <c r="I966" s="364"/>
      <c r="J966" s="314">
        <v>1.43E-2</v>
      </c>
    </row>
    <row r="967" spans="1:10" x14ac:dyDescent="0.2">
      <c r="A967" s="364"/>
      <c r="B967" s="364"/>
      <c r="C967" s="364"/>
      <c r="D967" s="364"/>
      <c r="E967" s="364"/>
      <c r="F967" s="364"/>
      <c r="G967" s="364" t="s">
        <v>441</v>
      </c>
      <c r="H967" s="364"/>
      <c r="I967" s="364"/>
      <c r="J967" s="314">
        <v>1.67E-2</v>
      </c>
    </row>
    <row r="968" spans="1:10" x14ac:dyDescent="0.2">
      <c r="A968" s="364"/>
      <c r="B968" s="364"/>
      <c r="C968" s="364"/>
      <c r="D968" s="364"/>
      <c r="E968" s="364"/>
      <c r="F968" s="364"/>
      <c r="G968" s="364" t="s">
        <v>442</v>
      </c>
      <c r="H968" s="364"/>
      <c r="I968" s="364"/>
      <c r="J968" s="314">
        <v>249</v>
      </c>
    </row>
    <row r="969" spans="1:10" x14ac:dyDescent="0.2">
      <c r="A969" s="364"/>
      <c r="B969" s="364"/>
      <c r="C969" s="364"/>
      <c r="D969" s="364"/>
      <c r="E969" s="364"/>
      <c r="F969" s="364"/>
      <c r="G969" s="364" t="s">
        <v>443</v>
      </c>
      <c r="H969" s="364"/>
      <c r="I969" s="364"/>
      <c r="J969" s="314">
        <v>1.1745000000000001</v>
      </c>
    </row>
    <row r="970" spans="1:10" x14ac:dyDescent="0.2">
      <c r="A970" s="317"/>
      <c r="B970" s="317"/>
      <c r="C970" s="317"/>
      <c r="D970" s="317"/>
      <c r="E970" s="317"/>
      <c r="F970" s="318"/>
      <c r="G970" s="317"/>
      <c r="H970" s="318"/>
      <c r="I970" s="317"/>
      <c r="J970" s="318"/>
    </row>
    <row r="971" spans="1:10" ht="15" thickBot="1" x14ac:dyDescent="0.25">
      <c r="A971" s="317"/>
      <c r="B971" s="317"/>
      <c r="C971" s="317"/>
      <c r="D971" s="317"/>
      <c r="E971" s="317" t="s">
        <v>123</v>
      </c>
      <c r="F971" s="318">
        <v>0.28000000000000003</v>
      </c>
      <c r="G971" s="317"/>
      <c r="H971" s="366" t="s">
        <v>124</v>
      </c>
      <c r="I971" s="366"/>
      <c r="J971" s="318">
        <v>1.47</v>
      </c>
    </row>
    <row r="972" spans="1:10" ht="15" thickTop="1" x14ac:dyDescent="0.2">
      <c r="A972" s="299"/>
      <c r="B972" s="299"/>
      <c r="C972" s="299"/>
      <c r="D972" s="299"/>
      <c r="E972" s="299"/>
      <c r="F972" s="299"/>
      <c r="G972" s="299"/>
      <c r="H972" s="299"/>
      <c r="I972" s="299"/>
      <c r="J972" s="299"/>
    </row>
    <row r="973" spans="1:10" ht="15" customHeight="1" x14ac:dyDescent="0.2">
      <c r="A973" s="291"/>
      <c r="B973" s="293" t="s">
        <v>6</v>
      </c>
      <c r="C973" s="291" t="s">
        <v>7</v>
      </c>
      <c r="D973" s="291" t="s">
        <v>8</v>
      </c>
      <c r="E973" s="367" t="s">
        <v>114</v>
      </c>
      <c r="F973" s="367"/>
      <c r="G973" s="292" t="s">
        <v>9</v>
      </c>
      <c r="H973" s="293" t="s">
        <v>10</v>
      </c>
      <c r="I973" s="293" t="s">
        <v>11</v>
      </c>
      <c r="J973" s="293" t="s">
        <v>12</v>
      </c>
    </row>
    <row r="974" spans="1:10" x14ac:dyDescent="0.2">
      <c r="A974" s="294" t="s">
        <v>115</v>
      </c>
      <c r="B974" s="296" t="s">
        <v>1014</v>
      </c>
      <c r="C974" s="294" t="s">
        <v>119</v>
      </c>
      <c r="D974" s="294" t="s">
        <v>1003</v>
      </c>
      <c r="E974" s="373" t="s">
        <v>121</v>
      </c>
      <c r="F974" s="373"/>
      <c r="G974" s="295" t="s">
        <v>122</v>
      </c>
      <c r="H974" s="298">
        <v>1</v>
      </c>
      <c r="I974" s="297">
        <v>1.1299999999999999</v>
      </c>
      <c r="J974" s="297">
        <v>1.1299999999999999</v>
      </c>
    </row>
    <row r="975" spans="1:10" ht="15" x14ac:dyDescent="0.2">
      <c r="A975" s="367" t="s">
        <v>428</v>
      </c>
      <c r="B975" s="363" t="s">
        <v>6</v>
      </c>
      <c r="C975" s="367" t="s">
        <v>7</v>
      </c>
      <c r="D975" s="367" t="s">
        <v>429</v>
      </c>
      <c r="E975" s="363" t="s">
        <v>430</v>
      </c>
      <c r="F975" s="375" t="s">
        <v>431</v>
      </c>
      <c r="G975" s="363"/>
      <c r="H975" s="375" t="s">
        <v>432</v>
      </c>
      <c r="I975" s="363"/>
      <c r="J975" s="363" t="s">
        <v>433</v>
      </c>
    </row>
    <row r="976" spans="1:10" ht="15" x14ac:dyDescent="0.2">
      <c r="A976" s="363"/>
      <c r="B976" s="363"/>
      <c r="C976" s="363"/>
      <c r="D976" s="363"/>
      <c r="E976" s="363"/>
      <c r="F976" s="293" t="s">
        <v>434</v>
      </c>
      <c r="G976" s="293" t="s">
        <v>435</v>
      </c>
      <c r="H976" s="293" t="s">
        <v>434</v>
      </c>
      <c r="I976" s="293" t="s">
        <v>435</v>
      </c>
      <c r="J976" s="363"/>
    </row>
    <row r="977" spans="1:10" x14ac:dyDescent="0.2">
      <c r="A977" s="306" t="s">
        <v>130</v>
      </c>
      <c r="B977" s="308" t="s">
        <v>768</v>
      </c>
      <c r="C977" s="306" t="s">
        <v>119</v>
      </c>
      <c r="D977" s="306" t="s">
        <v>769</v>
      </c>
      <c r="E977" s="311">
        <v>1</v>
      </c>
      <c r="F977" s="309">
        <v>1</v>
      </c>
      <c r="G977" s="309">
        <v>0</v>
      </c>
      <c r="H977" s="310">
        <v>278.09460000000001</v>
      </c>
      <c r="I977" s="310">
        <v>75.520799999999994</v>
      </c>
      <c r="J977" s="310">
        <v>278.09460000000001</v>
      </c>
    </row>
    <row r="978" spans="1:10" x14ac:dyDescent="0.2">
      <c r="A978" s="364"/>
      <c r="B978" s="364"/>
      <c r="C978" s="364"/>
      <c r="D978" s="364"/>
      <c r="E978" s="364"/>
      <c r="F978" s="364"/>
      <c r="G978" s="364" t="s">
        <v>438</v>
      </c>
      <c r="H978" s="364"/>
      <c r="I978" s="364"/>
      <c r="J978" s="314">
        <v>278.09460000000001</v>
      </c>
    </row>
    <row r="979" spans="1:10" ht="15" customHeight="1" x14ac:dyDescent="0.2">
      <c r="A979" s="364"/>
      <c r="B979" s="364"/>
      <c r="C979" s="364"/>
      <c r="D979" s="364"/>
      <c r="E979" s="364"/>
      <c r="F979" s="364"/>
      <c r="G979" s="364" t="s">
        <v>439</v>
      </c>
      <c r="H979" s="364"/>
      <c r="I979" s="364"/>
      <c r="J979" s="314">
        <v>278.09460000000001</v>
      </c>
    </row>
    <row r="980" spans="1:10" x14ac:dyDescent="0.2">
      <c r="A980" s="364"/>
      <c r="B980" s="364"/>
      <c r="C980" s="364"/>
      <c r="D980" s="364"/>
      <c r="E980" s="364"/>
      <c r="F980" s="364"/>
      <c r="G980" s="364" t="s">
        <v>440</v>
      </c>
      <c r="H980" s="364"/>
      <c r="I980" s="364"/>
      <c r="J980" s="314">
        <v>1.43E-2</v>
      </c>
    </row>
    <row r="981" spans="1:10" x14ac:dyDescent="0.2">
      <c r="A981" s="364"/>
      <c r="B981" s="364"/>
      <c r="C981" s="364"/>
      <c r="D981" s="364"/>
      <c r="E981" s="364"/>
      <c r="F981" s="364"/>
      <c r="G981" s="364" t="s">
        <v>441</v>
      </c>
      <c r="H981" s="364"/>
      <c r="I981" s="364"/>
      <c r="J981" s="314">
        <v>1.5900000000000001E-2</v>
      </c>
    </row>
    <row r="982" spans="1:10" x14ac:dyDescent="0.2">
      <c r="A982" s="364"/>
      <c r="B982" s="364"/>
      <c r="C982" s="364"/>
      <c r="D982" s="364"/>
      <c r="E982" s="364"/>
      <c r="F982" s="364"/>
      <c r="G982" s="364" t="s">
        <v>442</v>
      </c>
      <c r="H982" s="364"/>
      <c r="I982" s="364"/>
      <c r="J982" s="314">
        <v>248.59</v>
      </c>
    </row>
    <row r="983" spans="1:10" x14ac:dyDescent="0.2">
      <c r="A983" s="364"/>
      <c r="B983" s="364"/>
      <c r="C983" s="364"/>
      <c r="D983" s="364"/>
      <c r="E983" s="364"/>
      <c r="F983" s="364"/>
      <c r="G983" s="364" t="s">
        <v>443</v>
      </c>
      <c r="H983" s="364"/>
      <c r="I983" s="364"/>
      <c r="J983" s="314">
        <v>1.1187</v>
      </c>
    </row>
    <row r="984" spans="1:10" x14ac:dyDescent="0.2">
      <c r="A984" s="317"/>
      <c r="B984" s="317"/>
      <c r="C984" s="317"/>
      <c r="D984" s="317"/>
      <c r="E984" s="317"/>
      <c r="F984" s="318"/>
      <c r="G984" s="317"/>
      <c r="H984" s="318"/>
      <c r="I984" s="317"/>
      <c r="J984" s="318"/>
    </row>
    <row r="985" spans="1:10" ht="15" customHeight="1" thickBot="1" x14ac:dyDescent="0.25">
      <c r="A985" s="317"/>
      <c r="B985" s="317"/>
      <c r="C985" s="317"/>
      <c r="D985" s="317"/>
      <c r="E985" s="317" t="s">
        <v>123</v>
      </c>
      <c r="F985" s="318">
        <v>0.26</v>
      </c>
      <c r="G985" s="317"/>
      <c r="H985" s="366" t="s">
        <v>124</v>
      </c>
      <c r="I985" s="366"/>
      <c r="J985" s="318">
        <v>1.39</v>
      </c>
    </row>
    <row r="986" spans="1:10" ht="15" thickTop="1" x14ac:dyDescent="0.2">
      <c r="A986" s="299"/>
      <c r="B986" s="299"/>
      <c r="C986" s="299"/>
      <c r="D986" s="299"/>
      <c r="E986" s="299"/>
      <c r="F986" s="299"/>
      <c r="G986" s="299"/>
      <c r="H986" s="299"/>
      <c r="I986" s="299"/>
      <c r="J986" s="299"/>
    </row>
    <row r="987" spans="1:10" ht="15" x14ac:dyDescent="0.2">
      <c r="A987" s="291"/>
      <c r="B987" s="293" t="s">
        <v>6</v>
      </c>
      <c r="C987" s="291" t="s">
        <v>7</v>
      </c>
      <c r="D987" s="291" t="s">
        <v>8</v>
      </c>
      <c r="E987" s="367" t="s">
        <v>114</v>
      </c>
      <c r="F987" s="367"/>
      <c r="G987" s="292" t="s">
        <v>9</v>
      </c>
      <c r="H987" s="293" t="s">
        <v>10</v>
      </c>
      <c r="I987" s="293" t="s">
        <v>11</v>
      </c>
      <c r="J987" s="293" t="s">
        <v>12</v>
      </c>
    </row>
    <row r="988" spans="1:10" ht="25.5" x14ac:dyDescent="0.2">
      <c r="A988" s="294" t="s">
        <v>115</v>
      </c>
      <c r="B988" s="296" t="s">
        <v>118</v>
      </c>
      <c r="C988" s="294" t="s">
        <v>119</v>
      </c>
      <c r="D988" s="294" t="s">
        <v>120</v>
      </c>
      <c r="E988" s="373" t="s">
        <v>121</v>
      </c>
      <c r="F988" s="373"/>
      <c r="G988" s="295" t="s">
        <v>122</v>
      </c>
      <c r="H988" s="298">
        <v>1</v>
      </c>
      <c r="I988" s="297">
        <v>0.57999999999999996</v>
      </c>
      <c r="J988" s="297">
        <v>0.57999999999999996</v>
      </c>
    </row>
    <row r="989" spans="1:10" ht="15" x14ac:dyDescent="0.2">
      <c r="A989" s="367" t="s">
        <v>428</v>
      </c>
      <c r="B989" s="363" t="s">
        <v>6</v>
      </c>
      <c r="C989" s="367" t="s">
        <v>7</v>
      </c>
      <c r="D989" s="367" t="s">
        <v>429</v>
      </c>
      <c r="E989" s="363" t="s">
        <v>430</v>
      </c>
      <c r="F989" s="375" t="s">
        <v>431</v>
      </c>
      <c r="G989" s="363"/>
      <c r="H989" s="375" t="s">
        <v>432</v>
      </c>
      <c r="I989" s="363"/>
      <c r="J989" s="363" t="s">
        <v>433</v>
      </c>
    </row>
    <row r="990" spans="1:10" ht="15" x14ac:dyDescent="0.2">
      <c r="A990" s="363"/>
      <c r="B990" s="363"/>
      <c r="C990" s="363"/>
      <c r="D990" s="363"/>
      <c r="E990" s="363"/>
      <c r="F990" s="293" t="s">
        <v>434</v>
      </c>
      <c r="G990" s="293" t="s">
        <v>435</v>
      </c>
      <c r="H990" s="293" t="s">
        <v>434</v>
      </c>
      <c r="I990" s="293" t="s">
        <v>435</v>
      </c>
      <c r="J990" s="363"/>
    </row>
    <row r="991" spans="1:10" ht="15" customHeight="1" x14ac:dyDescent="0.2">
      <c r="A991" s="306" t="s">
        <v>130</v>
      </c>
      <c r="B991" s="308" t="s">
        <v>436</v>
      </c>
      <c r="C991" s="306" t="s">
        <v>119</v>
      </c>
      <c r="D991" s="306" t="s">
        <v>437</v>
      </c>
      <c r="E991" s="311">
        <v>1</v>
      </c>
      <c r="F991" s="309">
        <v>1</v>
      </c>
      <c r="G991" s="309">
        <v>0</v>
      </c>
      <c r="H991" s="310">
        <v>427.98759999999999</v>
      </c>
      <c r="I991" s="310">
        <v>123.1388</v>
      </c>
      <c r="J991" s="310">
        <v>427.98759999999999</v>
      </c>
    </row>
    <row r="992" spans="1:10" x14ac:dyDescent="0.2">
      <c r="A992" s="364"/>
      <c r="B992" s="364"/>
      <c r="C992" s="364"/>
      <c r="D992" s="364"/>
      <c r="E992" s="364"/>
      <c r="F992" s="364"/>
      <c r="G992" s="364" t="s">
        <v>438</v>
      </c>
      <c r="H992" s="364"/>
      <c r="I992" s="364"/>
      <c r="J992" s="314">
        <v>427.98759999999999</v>
      </c>
    </row>
    <row r="993" spans="1:10" x14ac:dyDescent="0.2">
      <c r="A993" s="364"/>
      <c r="B993" s="364"/>
      <c r="C993" s="364"/>
      <c r="D993" s="364"/>
      <c r="E993" s="364"/>
      <c r="F993" s="364"/>
      <c r="G993" s="364" t="s">
        <v>439</v>
      </c>
      <c r="H993" s="364"/>
      <c r="I993" s="364"/>
      <c r="J993" s="314">
        <v>427.98759999999999</v>
      </c>
    </row>
    <row r="994" spans="1:10" x14ac:dyDescent="0.2">
      <c r="A994" s="364"/>
      <c r="B994" s="364"/>
      <c r="C994" s="364"/>
      <c r="D994" s="364"/>
      <c r="E994" s="364"/>
      <c r="F994" s="364"/>
      <c r="G994" s="364" t="s">
        <v>440</v>
      </c>
      <c r="H994" s="364"/>
      <c r="I994" s="364"/>
      <c r="J994" s="314">
        <v>0</v>
      </c>
    </row>
    <row r="995" spans="1:10" x14ac:dyDescent="0.2">
      <c r="A995" s="364"/>
      <c r="B995" s="364"/>
      <c r="C995" s="364"/>
      <c r="D995" s="364"/>
      <c r="E995" s="364"/>
      <c r="F995" s="364"/>
      <c r="G995" s="364" t="s">
        <v>441</v>
      </c>
      <c r="H995" s="364"/>
      <c r="I995" s="364"/>
      <c r="J995" s="314">
        <v>0</v>
      </c>
    </row>
    <row r="996" spans="1:10" x14ac:dyDescent="0.2">
      <c r="A996" s="364"/>
      <c r="B996" s="364"/>
      <c r="C996" s="364"/>
      <c r="D996" s="364"/>
      <c r="E996" s="364"/>
      <c r="F996" s="364"/>
      <c r="G996" s="364" t="s">
        <v>442</v>
      </c>
      <c r="H996" s="364"/>
      <c r="I996" s="364"/>
      <c r="J996" s="314">
        <v>731.74</v>
      </c>
    </row>
    <row r="997" spans="1:10" ht="15" customHeight="1" x14ac:dyDescent="0.2">
      <c r="A997" s="364"/>
      <c r="B997" s="364"/>
      <c r="C997" s="364"/>
      <c r="D997" s="364"/>
      <c r="E997" s="364"/>
      <c r="F997" s="364"/>
      <c r="G997" s="364" t="s">
        <v>443</v>
      </c>
      <c r="H997" s="364"/>
      <c r="I997" s="364"/>
      <c r="J997" s="314">
        <v>0.58489999999999998</v>
      </c>
    </row>
    <row r="998" spans="1:10" x14ac:dyDescent="0.2">
      <c r="A998" s="317"/>
      <c r="B998" s="317"/>
      <c r="C998" s="317"/>
      <c r="D998" s="317"/>
      <c r="E998" s="317"/>
      <c r="F998" s="318"/>
      <c r="G998" s="317"/>
      <c r="H998" s="318"/>
      <c r="I998" s="317"/>
      <c r="J998" s="318"/>
    </row>
    <row r="999" spans="1:10" ht="15" thickBot="1" x14ac:dyDescent="0.25">
      <c r="A999" s="317"/>
      <c r="B999" s="317"/>
      <c r="C999" s="317"/>
      <c r="D999" s="317"/>
      <c r="E999" s="317" t="s">
        <v>123</v>
      </c>
      <c r="F999" s="318">
        <v>0.13</v>
      </c>
      <c r="G999" s="317"/>
      <c r="H999" s="366" t="s">
        <v>124</v>
      </c>
      <c r="I999" s="366"/>
      <c r="J999" s="318">
        <v>0.71</v>
      </c>
    </row>
    <row r="1000" spans="1:10" ht="15" thickTop="1" x14ac:dyDescent="0.2">
      <c r="A1000" s="299"/>
      <c r="B1000" s="299"/>
      <c r="C1000" s="299"/>
      <c r="D1000" s="299"/>
      <c r="E1000" s="299"/>
      <c r="F1000" s="299"/>
      <c r="G1000" s="299"/>
      <c r="H1000" s="299"/>
      <c r="I1000" s="299"/>
      <c r="J1000" s="299"/>
    </row>
    <row r="1001" spans="1:10" ht="15" x14ac:dyDescent="0.2">
      <c r="A1001" s="291"/>
      <c r="B1001" s="293" t="s">
        <v>6</v>
      </c>
      <c r="C1001" s="291" t="s">
        <v>7</v>
      </c>
      <c r="D1001" s="291" t="s">
        <v>8</v>
      </c>
      <c r="E1001" s="367" t="s">
        <v>114</v>
      </c>
      <c r="F1001" s="367"/>
      <c r="G1001" s="292" t="s">
        <v>9</v>
      </c>
      <c r="H1001" s="293" t="s">
        <v>10</v>
      </c>
      <c r="I1001" s="293" t="s">
        <v>11</v>
      </c>
      <c r="J1001" s="293" t="s">
        <v>12</v>
      </c>
    </row>
    <row r="1002" spans="1:10" ht="25.5" x14ac:dyDescent="0.2">
      <c r="A1002" s="294" t="s">
        <v>115</v>
      </c>
      <c r="B1002" s="296" t="s">
        <v>786</v>
      </c>
      <c r="C1002" s="294" t="s">
        <v>119</v>
      </c>
      <c r="D1002" s="294" t="s">
        <v>787</v>
      </c>
      <c r="E1002" s="373" t="s">
        <v>121</v>
      </c>
      <c r="F1002" s="373"/>
      <c r="G1002" s="295" t="s">
        <v>122</v>
      </c>
      <c r="H1002" s="298">
        <v>1</v>
      </c>
      <c r="I1002" s="297">
        <v>0.93</v>
      </c>
      <c r="J1002" s="297">
        <v>0.93</v>
      </c>
    </row>
    <row r="1003" spans="1:10" ht="15" x14ac:dyDescent="0.2">
      <c r="A1003" s="367" t="s">
        <v>428</v>
      </c>
      <c r="B1003" s="363" t="s">
        <v>6</v>
      </c>
      <c r="C1003" s="367" t="s">
        <v>7</v>
      </c>
      <c r="D1003" s="367" t="s">
        <v>429</v>
      </c>
      <c r="E1003" s="363" t="s">
        <v>430</v>
      </c>
      <c r="F1003" s="375" t="s">
        <v>431</v>
      </c>
      <c r="G1003" s="363"/>
      <c r="H1003" s="375" t="s">
        <v>432</v>
      </c>
      <c r="I1003" s="363"/>
      <c r="J1003" s="363" t="s">
        <v>433</v>
      </c>
    </row>
    <row r="1004" spans="1:10" ht="15" x14ac:dyDescent="0.2">
      <c r="A1004" s="363"/>
      <c r="B1004" s="363"/>
      <c r="C1004" s="363"/>
      <c r="D1004" s="363"/>
      <c r="E1004" s="363"/>
      <c r="F1004" s="293" t="s">
        <v>434</v>
      </c>
      <c r="G1004" s="293" t="s">
        <v>435</v>
      </c>
      <c r="H1004" s="293" t="s">
        <v>434</v>
      </c>
      <c r="I1004" s="293" t="s">
        <v>435</v>
      </c>
      <c r="J1004" s="363"/>
    </row>
    <row r="1005" spans="1:10" x14ac:dyDescent="0.2">
      <c r="A1005" s="306" t="s">
        <v>130</v>
      </c>
      <c r="B1005" s="308" t="s">
        <v>782</v>
      </c>
      <c r="C1005" s="306" t="s">
        <v>119</v>
      </c>
      <c r="D1005" s="306" t="s">
        <v>783</v>
      </c>
      <c r="E1005" s="311">
        <v>1</v>
      </c>
      <c r="F1005" s="309">
        <v>1</v>
      </c>
      <c r="G1005" s="309">
        <v>0</v>
      </c>
      <c r="H1005" s="310">
        <v>478.6148</v>
      </c>
      <c r="I1005" s="310">
        <v>105.9905</v>
      </c>
      <c r="J1005" s="310">
        <v>478.6148</v>
      </c>
    </row>
    <row r="1006" spans="1:10" x14ac:dyDescent="0.2">
      <c r="A1006" s="364"/>
      <c r="B1006" s="364"/>
      <c r="C1006" s="364"/>
      <c r="D1006" s="364"/>
      <c r="E1006" s="364"/>
      <c r="F1006" s="364"/>
      <c r="G1006" s="364" t="s">
        <v>438</v>
      </c>
      <c r="H1006" s="364"/>
      <c r="I1006" s="364"/>
      <c r="J1006" s="314">
        <v>478.6148</v>
      </c>
    </row>
    <row r="1007" spans="1:10" x14ac:dyDescent="0.2">
      <c r="A1007" s="364"/>
      <c r="B1007" s="364"/>
      <c r="C1007" s="364"/>
      <c r="D1007" s="364"/>
      <c r="E1007" s="364"/>
      <c r="F1007" s="364"/>
      <c r="G1007" s="364" t="s">
        <v>439</v>
      </c>
      <c r="H1007" s="364"/>
      <c r="I1007" s="364"/>
      <c r="J1007" s="314">
        <v>478.6148</v>
      </c>
    </row>
    <row r="1008" spans="1:10" x14ac:dyDescent="0.2">
      <c r="A1008" s="364"/>
      <c r="B1008" s="364"/>
      <c r="C1008" s="364"/>
      <c r="D1008" s="364"/>
      <c r="E1008" s="364"/>
      <c r="F1008" s="364"/>
      <c r="G1008" s="364" t="s">
        <v>440</v>
      </c>
      <c r="H1008" s="364"/>
      <c r="I1008" s="364"/>
      <c r="J1008" s="314">
        <v>1.43E-2</v>
      </c>
    </row>
    <row r="1009" spans="1:10" x14ac:dyDescent="0.2">
      <c r="A1009" s="364"/>
      <c r="B1009" s="364"/>
      <c r="C1009" s="364"/>
      <c r="D1009" s="364"/>
      <c r="E1009" s="364"/>
      <c r="F1009" s="364"/>
      <c r="G1009" s="364" t="s">
        <v>441</v>
      </c>
      <c r="H1009" s="364"/>
      <c r="I1009" s="364"/>
      <c r="J1009" s="314">
        <v>1.3100000000000001E-2</v>
      </c>
    </row>
    <row r="1010" spans="1:10" ht="15" customHeight="1" x14ac:dyDescent="0.2">
      <c r="A1010" s="364"/>
      <c r="B1010" s="364"/>
      <c r="C1010" s="364"/>
      <c r="D1010" s="364"/>
      <c r="E1010" s="364"/>
      <c r="F1010" s="364"/>
      <c r="G1010" s="364" t="s">
        <v>442</v>
      </c>
      <c r="H1010" s="364"/>
      <c r="I1010" s="364"/>
      <c r="J1010" s="314">
        <v>519.41</v>
      </c>
    </row>
    <row r="1011" spans="1:10" x14ac:dyDescent="0.2">
      <c r="A1011" s="364"/>
      <c r="B1011" s="364"/>
      <c r="C1011" s="364"/>
      <c r="D1011" s="364"/>
      <c r="E1011" s="364"/>
      <c r="F1011" s="364"/>
      <c r="G1011" s="364" t="s">
        <v>443</v>
      </c>
      <c r="H1011" s="364"/>
      <c r="I1011" s="364"/>
      <c r="J1011" s="314">
        <v>0.92149999999999999</v>
      </c>
    </row>
    <row r="1012" spans="1:10" x14ac:dyDescent="0.2">
      <c r="A1012" s="317"/>
      <c r="B1012" s="317"/>
      <c r="C1012" s="317"/>
      <c r="D1012" s="317"/>
      <c r="E1012" s="317"/>
      <c r="F1012" s="318"/>
      <c r="G1012" s="317"/>
      <c r="H1012" s="318"/>
      <c r="I1012" s="317"/>
      <c r="J1012" s="318"/>
    </row>
    <row r="1013" spans="1:10" ht="15" thickBot="1" x14ac:dyDescent="0.25">
      <c r="A1013" s="317"/>
      <c r="B1013" s="317"/>
      <c r="C1013" s="317"/>
      <c r="D1013" s="317"/>
      <c r="E1013" s="317" t="s">
        <v>123</v>
      </c>
      <c r="F1013" s="318">
        <v>0.22</v>
      </c>
      <c r="G1013" s="317"/>
      <c r="H1013" s="366" t="s">
        <v>124</v>
      </c>
      <c r="I1013" s="366"/>
      <c r="J1013" s="318">
        <v>1.1499999999999999</v>
      </c>
    </row>
    <row r="1014" spans="1:10" ht="15" thickTop="1" x14ac:dyDescent="0.2">
      <c r="A1014" s="299"/>
      <c r="B1014" s="299"/>
      <c r="C1014" s="299"/>
      <c r="D1014" s="299"/>
      <c r="E1014" s="299"/>
      <c r="F1014" s="299"/>
      <c r="G1014" s="299"/>
      <c r="H1014" s="299"/>
      <c r="I1014" s="299"/>
      <c r="J1014" s="299"/>
    </row>
    <row r="1015" spans="1:10" ht="15" x14ac:dyDescent="0.2">
      <c r="A1015" s="291"/>
      <c r="B1015" s="293" t="s">
        <v>6</v>
      </c>
      <c r="C1015" s="291" t="s">
        <v>7</v>
      </c>
      <c r="D1015" s="291" t="s">
        <v>8</v>
      </c>
      <c r="E1015" s="367" t="s">
        <v>114</v>
      </c>
      <c r="F1015" s="367"/>
      <c r="G1015" s="292" t="s">
        <v>9</v>
      </c>
      <c r="H1015" s="293" t="s">
        <v>10</v>
      </c>
      <c r="I1015" s="293" t="s">
        <v>11</v>
      </c>
      <c r="J1015" s="293" t="s">
        <v>12</v>
      </c>
    </row>
    <row r="1016" spans="1:10" ht="25.5" x14ac:dyDescent="0.2">
      <c r="A1016" s="294" t="s">
        <v>115</v>
      </c>
      <c r="B1016" s="296" t="s">
        <v>788</v>
      </c>
      <c r="C1016" s="294" t="s">
        <v>119</v>
      </c>
      <c r="D1016" s="294" t="s">
        <v>789</v>
      </c>
      <c r="E1016" s="373" t="s">
        <v>121</v>
      </c>
      <c r="F1016" s="373"/>
      <c r="G1016" s="295" t="s">
        <v>122</v>
      </c>
      <c r="H1016" s="298">
        <v>1</v>
      </c>
      <c r="I1016" s="297">
        <v>0.75</v>
      </c>
      <c r="J1016" s="297">
        <v>0.75</v>
      </c>
    </row>
    <row r="1017" spans="1:10" ht="15" x14ac:dyDescent="0.2">
      <c r="A1017" s="367" t="s">
        <v>428</v>
      </c>
      <c r="B1017" s="363" t="s">
        <v>6</v>
      </c>
      <c r="C1017" s="367" t="s">
        <v>7</v>
      </c>
      <c r="D1017" s="367" t="s">
        <v>429</v>
      </c>
      <c r="E1017" s="363" t="s">
        <v>430</v>
      </c>
      <c r="F1017" s="375" t="s">
        <v>431</v>
      </c>
      <c r="G1017" s="363"/>
      <c r="H1017" s="375" t="s">
        <v>432</v>
      </c>
      <c r="I1017" s="363"/>
      <c r="J1017" s="363" t="s">
        <v>433</v>
      </c>
    </row>
    <row r="1018" spans="1:10" ht="15" x14ac:dyDescent="0.2">
      <c r="A1018" s="363"/>
      <c r="B1018" s="363"/>
      <c r="C1018" s="363"/>
      <c r="D1018" s="363"/>
      <c r="E1018" s="363"/>
      <c r="F1018" s="293" t="s">
        <v>434</v>
      </c>
      <c r="G1018" s="293" t="s">
        <v>435</v>
      </c>
      <c r="H1018" s="293" t="s">
        <v>434</v>
      </c>
      <c r="I1018" s="293" t="s">
        <v>435</v>
      </c>
      <c r="J1018" s="363"/>
    </row>
    <row r="1019" spans="1:10" x14ac:dyDescent="0.2">
      <c r="A1019" s="306" t="s">
        <v>130</v>
      </c>
      <c r="B1019" s="308" t="s">
        <v>782</v>
      </c>
      <c r="C1019" s="306" t="s">
        <v>119</v>
      </c>
      <c r="D1019" s="306" t="s">
        <v>783</v>
      </c>
      <c r="E1019" s="311">
        <v>1</v>
      </c>
      <c r="F1019" s="309">
        <v>1</v>
      </c>
      <c r="G1019" s="309">
        <v>0</v>
      </c>
      <c r="H1019" s="310">
        <v>478.6148</v>
      </c>
      <c r="I1019" s="310">
        <v>105.9905</v>
      </c>
      <c r="J1019" s="310">
        <v>478.6148</v>
      </c>
    </row>
    <row r="1020" spans="1:10" x14ac:dyDescent="0.2">
      <c r="A1020" s="364"/>
      <c r="B1020" s="364"/>
      <c r="C1020" s="364"/>
      <c r="D1020" s="364"/>
      <c r="E1020" s="364"/>
      <c r="F1020" s="364"/>
      <c r="G1020" s="364" t="s">
        <v>438</v>
      </c>
      <c r="H1020" s="364"/>
      <c r="I1020" s="364"/>
      <c r="J1020" s="314">
        <v>478.6148</v>
      </c>
    </row>
    <row r="1021" spans="1:10" ht="15" customHeight="1" x14ac:dyDescent="0.2">
      <c r="A1021" s="364"/>
      <c r="B1021" s="364"/>
      <c r="C1021" s="364"/>
      <c r="D1021" s="364"/>
      <c r="E1021" s="364"/>
      <c r="F1021" s="364"/>
      <c r="G1021" s="364" t="s">
        <v>439</v>
      </c>
      <c r="H1021" s="364"/>
      <c r="I1021" s="364"/>
      <c r="J1021" s="314">
        <v>478.6148</v>
      </c>
    </row>
    <row r="1022" spans="1:10" x14ac:dyDescent="0.2">
      <c r="A1022" s="364"/>
      <c r="B1022" s="364"/>
      <c r="C1022" s="364"/>
      <c r="D1022" s="364"/>
      <c r="E1022" s="364"/>
      <c r="F1022" s="364"/>
      <c r="G1022" s="364" t="s">
        <v>440</v>
      </c>
      <c r="H1022" s="364"/>
      <c r="I1022" s="364"/>
      <c r="J1022" s="314">
        <v>1.43E-2</v>
      </c>
    </row>
    <row r="1023" spans="1:10" x14ac:dyDescent="0.2">
      <c r="A1023" s="364"/>
      <c r="B1023" s="364"/>
      <c r="C1023" s="364"/>
      <c r="D1023" s="364"/>
      <c r="E1023" s="364"/>
      <c r="F1023" s="364"/>
      <c r="G1023" s="364" t="s">
        <v>441</v>
      </c>
      <c r="H1023" s="364"/>
      <c r="I1023" s="364"/>
      <c r="J1023" s="314">
        <v>1.0500000000000001E-2</v>
      </c>
    </row>
    <row r="1024" spans="1:10" x14ac:dyDescent="0.2">
      <c r="A1024" s="364"/>
      <c r="B1024" s="364"/>
      <c r="C1024" s="364"/>
      <c r="D1024" s="364"/>
      <c r="E1024" s="364"/>
      <c r="F1024" s="364"/>
      <c r="G1024" s="364" t="s">
        <v>442</v>
      </c>
      <c r="H1024" s="364"/>
      <c r="I1024" s="364"/>
      <c r="J1024" s="314">
        <v>649.27</v>
      </c>
    </row>
    <row r="1025" spans="1:10" x14ac:dyDescent="0.2">
      <c r="A1025" s="364"/>
      <c r="B1025" s="364"/>
      <c r="C1025" s="364"/>
      <c r="D1025" s="364"/>
      <c r="E1025" s="364"/>
      <c r="F1025" s="364"/>
      <c r="G1025" s="364" t="s">
        <v>443</v>
      </c>
      <c r="H1025" s="364"/>
      <c r="I1025" s="364"/>
      <c r="J1025" s="314">
        <v>0.73719999999999997</v>
      </c>
    </row>
    <row r="1026" spans="1:10" x14ac:dyDescent="0.2">
      <c r="A1026" s="317"/>
      <c r="B1026" s="317"/>
      <c r="C1026" s="317"/>
      <c r="D1026" s="317"/>
      <c r="E1026" s="317"/>
      <c r="F1026" s="318"/>
      <c r="G1026" s="317"/>
      <c r="H1026" s="318"/>
      <c r="I1026" s="317"/>
      <c r="J1026" s="318"/>
    </row>
    <row r="1027" spans="1:10" ht="15" thickBot="1" x14ac:dyDescent="0.25">
      <c r="A1027" s="317"/>
      <c r="B1027" s="317"/>
      <c r="C1027" s="317"/>
      <c r="D1027" s="317"/>
      <c r="E1027" s="317" t="s">
        <v>123</v>
      </c>
      <c r="F1027" s="318">
        <v>0.17</v>
      </c>
      <c r="G1027" s="317"/>
      <c r="H1027" s="366" t="s">
        <v>124</v>
      </c>
      <c r="I1027" s="366"/>
      <c r="J1027" s="318">
        <v>0.92</v>
      </c>
    </row>
    <row r="1028" spans="1:10" ht="15" thickTop="1" x14ac:dyDescent="0.2">
      <c r="A1028" s="299"/>
      <c r="B1028" s="299"/>
      <c r="C1028" s="299"/>
      <c r="D1028" s="299"/>
      <c r="E1028" s="299"/>
      <c r="F1028" s="299"/>
      <c r="G1028" s="299"/>
      <c r="H1028" s="299"/>
      <c r="I1028" s="299"/>
      <c r="J1028" s="299"/>
    </row>
    <row r="1029" spans="1:10" ht="15" x14ac:dyDescent="0.2">
      <c r="A1029" s="291"/>
      <c r="B1029" s="293" t="s">
        <v>6</v>
      </c>
      <c r="C1029" s="291" t="s">
        <v>7</v>
      </c>
      <c r="D1029" s="291" t="s">
        <v>8</v>
      </c>
      <c r="E1029" s="367" t="s">
        <v>114</v>
      </c>
      <c r="F1029" s="367"/>
      <c r="G1029" s="292" t="s">
        <v>9</v>
      </c>
      <c r="H1029" s="293" t="s">
        <v>10</v>
      </c>
      <c r="I1029" s="293" t="s">
        <v>11</v>
      </c>
      <c r="J1029" s="293" t="s">
        <v>12</v>
      </c>
    </row>
    <row r="1030" spans="1:10" ht="25.5" x14ac:dyDescent="0.2">
      <c r="A1030" s="294" t="s">
        <v>115</v>
      </c>
      <c r="B1030" s="296" t="s">
        <v>772</v>
      </c>
      <c r="C1030" s="294" t="s">
        <v>19</v>
      </c>
      <c r="D1030" s="294" t="s">
        <v>773</v>
      </c>
      <c r="E1030" s="373" t="s">
        <v>774</v>
      </c>
      <c r="F1030" s="373"/>
      <c r="G1030" s="295" t="s">
        <v>122</v>
      </c>
      <c r="H1030" s="298">
        <v>1</v>
      </c>
      <c r="I1030" s="297">
        <v>0.27</v>
      </c>
      <c r="J1030" s="297">
        <v>0.27</v>
      </c>
    </row>
    <row r="1031" spans="1:10" ht="25.5" x14ac:dyDescent="0.2">
      <c r="A1031" s="300" t="s">
        <v>117</v>
      </c>
      <c r="B1031" s="302" t="s">
        <v>238</v>
      </c>
      <c r="C1031" s="300" t="s">
        <v>19</v>
      </c>
      <c r="D1031" s="300" t="s">
        <v>239</v>
      </c>
      <c r="E1031" s="368" t="s">
        <v>240</v>
      </c>
      <c r="F1031" s="368"/>
      <c r="G1031" s="301" t="s">
        <v>149</v>
      </c>
      <c r="H1031" s="305">
        <v>2E-3</v>
      </c>
      <c r="I1031" s="303">
        <v>3.7</v>
      </c>
      <c r="J1031" s="303">
        <v>0</v>
      </c>
    </row>
    <row r="1032" spans="1:10" x14ac:dyDescent="0.2">
      <c r="A1032" s="306" t="s">
        <v>130</v>
      </c>
      <c r="B1032" s="308" t="s">
        <v>790</v>
      </c>
      <c r="C1032" s="306" t="s">
        <v>19</v>
      </c>
      <c r="D1032" s="306" t="s">
        <v>791</v>
      </c>
      <c r="E1032" s="365">
        <v>0</v>
      </c>
      <c r="F1032" s="365"/>
      <c r="G1032" s="307" t="s">
        <v>191</v>
      </c>
      <c r="H1032" s="311">
        <v>3.9525999999999997E-3</v>
      </c>
      <c r="I1032" s="309">
        <v>65.45</v>
      </c>
      <c r="J1032" s="309">
        <v>0.25</v>
      </c>
    </row>
    <row r="1033" spans="1:10" x14ac:dyDescent="0.2">
      <c r="A1033" s="306" t="s">
        <v>130</v>
      </c>
      <c r="B1033" s="308" t="s">
        <v>247</v>
      </c>
      <c r="C1033" s="306" t="s">
        <v>38</v>
      </c>
      <c r="D1033" s="306" t="s">
        <v>248</v>
      </c>
      <c r="E1033" s="365" t="s">
        <v>160</v>
      </c>
      <c r="F1033" s="365"/>
      <c r="G1033" s="307" t="s">
        <v>127</v>
      </c>
      <c r="H1033" s="311">
        <v>1.9762999999999998E-3</v>
      </c>
      <c r="I1033" s="309">
        <v>12.11</v>
      </c>
      <c r="J1033" s="309">
        <v>0.02</v>
      </c>
    </row>
    <row r="1034" spans="1:10" x14ac:dyDescent="0.2">
      <c r="A1034" s="317"/>
      <c r="B1034" s="317"/>
      <c r="C1034" s="317"/>
      <c r="D1034" s="317"/>
      <c r="E1034" s="317"/>
      <c r="F1034" s="318"/>
      <c r="G1034" s="317"/>
      <c r="H1034" s="318"/>
      <c r="I1034" s="317"/>
      <c r="J1034" s="318"/>
    </row>
    <row r="1035" spans="1:10" ht="15" customHeight="1" thickBot="1" x14ac:dyDescent="0.25">
      <c r="A1035" s="317"/>
      <c r="B1035" s="317"/>
      <c r="C1035" s="317"/>
      <c r="D1035" s="317"/>
      <c r="E1035" s="317" t="s">
        <v>123</v>
      </c>
      <c r="F1035" s="318">
        <v>0.06</v>
      </c>
      <c r="G1035" s="317"/>
      <c r="H1035" s="366" t="s">
        <v>124</v>
      </c>
      <c r="I1035" s="366"/>
      <c r="J1035" s="318">
        <v>0.33</v>
      </c>
    </row>
    <row r="1036" spans="1:10" ht="15" thickTop="1" x14ac:dyDescent="0.2">
      <c r="A1036" s="299"/>
      <c r="B1036" s="299"/>
      <c r="C1036" s="299"/>
      <c r="D1036" s="299"/>
      <c r="E1036" s="299"/>
      <c r="F1036" s="299"/>
      <c r="G1036" s="299"/>
      <c r="H1036" s="299"/>
      <c r="I1036" s="299"/>
      <c r="J1036" s="299"/>
    </row>
    <row r="1037" spans="1:10" ht="15" x14ac:dyDescent="0.2">
      <c r="A1037" s="291"/>
      <c r="B1037" s="293" t="s">
        <v>6</v>
      </c>
      <c r="C1037" s="291" t="s">
        <v>7</v>
      </c>
      <c r="D1037" s="291" t="s">
        <v>8</v>
      </c>
      <c r="E1037" s="367" t="s">
        <v>114</v>
      </c>
      <c r="F1037" s="367"/>
      <c r="G1037" s="292" t="s">
        <v>9</v>
      </c>
      <c r="H1037" s="293" t="s">
        <v>10</v>
      </c>
      <c r="I1037" s="293" t="s">
        <v>11</v>
      </c>
      <c r="J1037" s="293" t="s">
        <v>12</v>
      </c>
    </row>
    <row r="1038" spans="1:10" x14ac:dyDescent="0.2">
      <c r="A1038" s="294" t="s">
        <v>115</v>
      </c>
      <c r="B1038" s="296" t="s">
        <v>142</v>
      </c>
      <c r="C1038" s="294" t="s">
        <v>38</v>
      </c>
      <c r="D1038" s="294" t="s">
        <v>143</v>
      </c>
      <c r="E1038" s="373" t="s">
        <v>116</v>
      </c>
      <c r="F1038" s="373"/>
      <c r="G1038" s="295" t="s">
        <v>127</v>
      </c>
      <c r="H1038" s="298">
        <v>1</v>
      </c>
      <c r="I1038" s="297">
        <v>39.82</v>
      </c>
      <c r="J1038" s="297">
        <v>39.82</v>
      </c>
    </row>
    <row r="1039" spans="1:10" ht="25.5" x14ac:dyDescent="0.2">
      <c r="A1039" s="300" t="s">
        <v>117</v>
      </c>
      <c r="B1039" s="302" t="s">
        <v>338</v>
      </c>
      <c r="C1039" s="300" t="s">
        <v>38</v>
      </c>
      <c r="D1039" s="300" t="s">
        <v>339</v>
      </c>
      <c r="E1039" s="368" t="s">
        <v>116</v>
      </c>
      <c r="F1039" s="368"/>
      <c r="G1039" s="301" t="s">
        <v>127</v>
      </c>
      <c r="H1039" s="305">
        <v>1</v>
      </c>
      <c r="I1039" s="303">
        <v>0.25</v>
      </c>
      <c r="J1039" s="303">
        <v>0.25</v>
      </c>
    </row>
    <row r="1040" spans="1:10" ht="25.5" x14ac:dyDescent="0.2">
      <c r="A1040" s="306" t="s">
        <v>130</v>
      </c>
      <c r="B1040" s="308" t="s">
        <v>221</v>
      </c>
      <c r="C1040" s="306" t="s">
        <v>38</v>
      </c>
      <c r="D1040" s="306" t="s">
        <v>222</v>
      </c>
      <c r="E1040" s="365" t="s">
        <v>148</v>
      </c>
      <c r="F1040" s="365"/>
      <c r="G1040" s="307" t="s">
        <v>127</v>
      </c>
      <c r="H1040" s="311">
        <v>1</v>
      </c>
      <c r="I1040" s="309">
        <v>0.69</v>
      </c>
      <c r="J1040" s="309">
        <v>0.69</v>
      </c>
    </row>
    <row r="1041" spans="1:10" x14ac:dyDescent="0.2">
      <c r="A1041" s="306" t="s">
        <v>130</v>
      </c>
      <c r="B1041" s="308" t="s">
        <v>223</v>
      </c>
      <c r="C1041" s="306" t="s">
        <v>38</v>
      </c>
      <c r="D1041" s="306" t="s">
        <v>224</v>
      </c>
      <c r="E1041" s="365" t="s">
        <v>225</v>
      </c>
      <c r="F1041" s="365"/>
      <c r="G1041" s="307" t="s">
        <v>127</v>
      </c>
      <c r="H1041" s="311">
        <v>1</v>
      </c>
      <c r="I1041" s="309">
        <v>0.81</v>
      </c>
      <c r="J1041" s="309">
        <v>0.81</v>
      </c>
    </row>
    <row r="1042" spans="1:10" ht="25.5" x14ac:dyDescent="0.2">
      <c r="A1042" s="306" t="s">
        <v>130</v>
      </c>
      <c r="B1042" s="308" t="s">
        <v>226</v>
      </c>
      <c r="C1042" s="306" t="s">
        <v>38</v>
      </c>
      <c r="D1042" s="306" t="s">
        <v>227</v>
      </c>
      <c r="E1042" s="365" t="s">
        <v>148</v>
      </c>
      <c r="F1042" s="365"/>
      <c r="G1042" s="307" t="s">
        <v>127</v>
      </c>
      <c r="H1042" s="311">
        <v>1</v>
      </c>
      <c r="I1042" s="309">
        <v>0.05</v>
      </c>
      <c r="J1042" s="309">
        <v>0.05</v>
      </c>
    </row>
    <row r="1043" spans="1:10" x14ac:dyDescent="0.2">
      <c r="A1043" s="306" t="s">
        <v>130</v>
      </c>
      <c r="B1043" s="308" t="s">
        <v>228</v>
      </c>
      <c r="C1043" s="306" t="s">
        <v>38</v>
      </c>
      <c r="D1043" s="306" t="s">
        <v>229</v>
      </c>
      <c r="E1043" s="365" t="s">
        <v>230</v>
      </c>
      <c r="F1043" s="365"/>
      <c r="G1043" s="307" t="s">
        <v>127</v>
      </c>
      <c r="H1043" s="311">
        <v>1</v>
      </c>
      <c r="I1043" s="309">
        <v>0.06</v>
      </c>
      <c r="J1043" s="309">
        <v>0.06</v>
      </c>
    </row>
    <row r="1044" spans="1:10" ht="25.5" x14ac:dyDescent="0.2">
      <c r="A1044" s="306" t="s">
        <v>130</v>
      </c>
      <c r="B1044" s="308" t="s">
        <v>340</v>
      </c>
      <c r="C1044" s="306" t="s">
        <v>38</v>
      </c>
      <c r="D1044" s="306" t="s">
        <v>341</v>
      </c>
      <c r="E1044" s="365" t="s">
        <v>160</v>
      </c>
      <c r="F1044" s="365"/>
      <c r="G1044" s="307" t="s">
        <v>127</v>
      </c>
      <c r="H1044" s="311">
        <v>1</v>
      </c>
      <c r="I1044" s="309">
        <v>37.96</v>
      </c>
      <c r="J1044" s="309">
        <v>37.96</v>
      </c>
    </row>
    <row r="1045" spans="1:10" x14ac:dyDescent="0.2">
      <c r="A1045" s="317"/>
      <c r="B1045" s="317"/>
      <c r="C1045" s="317"/>
      <c r="D1045" s="317"/>
      <c r="E1045" s="317"/>
      <c r="F1045" s="318"/>
      <c r="G1045" s="317"/>
      <c r="H1045" s="318"/>
      <c r="I1045" s="317"/>
      <c r="J1045" s="318"/>
    </row>
    <row r="1046" spans="1:10" ht="15" thickBot="1" x14ac:dyDescent="0.25">
      <c r="A1046" s="317"/>
      <c r="B1046" s="317"/>
      <c r="C1046" s="317"/>
      <c r="D1046" s="317"/>
      <c r="E1046" s="317" t="s">
        <v>123</v>
      </c>
      <c r="F1046" s="318">
        <v>9.43</v>
      </c>
      <c r="G1046" s="317"/>
      <c r="H1046" s="366" t="s">
        <v>124</v>
      </c>
      <c r="I1046" s="366"/>
      <c r="J1046" s="318">
        <v>49.25</v>
      </c>
    </row>
    <row r="1047" spans="1:10" ht="15" thickTop="1" x14ac:dyDescent="0.2">
      <c r="A1047" s="299"/>
      <c r="B1047" s="299"/>
      <c r="C1047" s="299"/>
      <c r="D1047" s="299"/>
      <c r="E1047" s="299"/>
      <c r="F1047" s="299"/>
      <c r="G1047" s="299"/>
      <c r="H1047" s="299"/>
      <c r="I1047" s="299"/>
      <c r="J1047" s="299"/>
    </row>
    <row r="1048" spans="1:10" ht="15" x14ac:dyDescent="0.2">
      <c r="A1048" s="291"/>
      <c r="B1048" s="293" t="s">
        <v>6</v>
      </c>
      <c r="C1048" s="291" t="s">
        <v>7</v>
      </c>
      <c r="D1048" s="291" t="s">
        <v>8</v>
      </c>
      <c r="E1048" s="367" t="s">
        <v>114</v>
      </c>
      <c r="F1048" s="367"/>
      <c r="G1048" s="292" t="s">
        <v>9</v>
      </c>
      <c r="H1048" s="293" t="s">
        <v>10</v>
      </c>
      <c r="I1048" s="293" t="s">
        <v>11</v>
      </c>
      <c r="J1048" s="293" t="s">
        <v>12</v>
      </c>
    </row>
    <row r="1049" spans="1:10" ht="15" customHeight="1" x14ac:dyDescent="0.2">
      <c r="A1049" s="294" t="s">
        <v>115</v>
      </c>
      <c r="B1049" s="296" t="s">
        <v>792</v>
      </c>
      <c r="C1049" s="294" t="s">
        <v>119</v>
      </c>
      <c r="D1049" s="294" t="s">
        <v>743</v>
      </c>
      <c r="E1049" s="373" t="s">
        <v>121</v>
      </c>
      <c r="F1049" s="373"/>
      <c r="G1049" s="295" t="s">
        <v>98</v>
      </c>
      <c r="H1049" s="298">
        <v>1</v>
      </c>
      <c r="I1049" s="297">
        <v>176.08</v>
      </c>
      <c r="J1049" s="297">
        <v>176.08</v>
      </c>
    </row>
    <row r="1050" spans="1:10" ht="15" x14ac:dyDescent="0.2">
      <c r="A1050" s="367" t="s">
        <v>428</v>
      </c>
      <c r="B1050" s="363" t="s">
        <v>6</v>
      </c>
      <c r="C1050" s="367" t="s">
        <v>7</v>
      </c>
      <c r="D1050" s="367" t="s">
        <v>429</v>
      </c>
      <c r="E1050" s="363" t="s">
        <v>430</v>
      </c>
      <c r="F1050" s="375" t="s">
        <v>431</v>
      </c>
      <c r="G1050" s="363"/>
      <c r="H1050" s="375" t="s">
        <v>432</v>
      </c>
      <c r="I1050" s="363"/>
      <c r="J1050" s="363" t="s">
        <v>433</v>
      </c>
    </row>
    <row r="1051" spans="1:10" ht="15" x14ac:dyDescent="0.2">
      <c r="A1051" s="363"/>
      <c r="B1051" s="363"/>
      <c r="C1051" s="363"/>
      <c r="D1051" s="363"/>
      <c r="E1051" s="363"/>
      <c r="F1051" s="293" t="s">
        <v>434</v>
      </c>
      <c r="G1051" s="293" t="s">
        <v>435</v>
      </c>
      <c r="H1051" s="293" t="s">
        <v>434</v>
      </c>
      <c r="I1051" s="293" t="s">
        <v>435</v>
      </c>
      <c r="J1051" s="363"/>
    </row>
    <row r="1052" spans="1:10" x14ac:dyDescent="0.2">
      <c r="A1052" s="306" t="s">
        <v>130</v>
      </c>
      <c r="B1052" s="308" t="s">
        <v>793</v>
      </c>
      <c r="C1052" s="306" t="s">
        <v>119</v>
      </c>
      <c r="D1052" s="306" t="s">
        <v>794</v>
      </c>
      <c r="E1052" s="311">
        <v>1</v>
      </c>
      <c r="F1052" s="309">
        <v>1</v>
      </c>
      <c r="G1052" s="309">
        <v>0</v>
      </c>
      <c r="H1052" s="310">
        <v>75.986599999999996</v>
      </c>
      <c r="I1052" s="310">
        <v>43.175899999999999</v>
      </c>
      <c r="J1052" s="310">
        <v>75.986599999999996</v>
      </c>
    </row>
    <row r="1053" spans="1:10" x14ac:dyDescent="0.2">
      <c r="A1053" s="306" t="s">
        <v>130</v>
      </c>
      <c r="B1053" s="308" t="s">
        <v>795</v>
      </c>
      <c r="C1053" s="306" t="s">
        <v>119</v>
      </c>
      <c r="D1053" s="306" t="s">
        <v>796</v>
      </c>
      <c r="E1053" s="311">
        <v>1</v>
      </c>
      <c r="F1053" s="309">
        <v>0.8</v>
      </c>
      <c r="G1053" s="309">
        <v>0.2</v>
      </c>
      <c r="H1053" s="310">
        <v>197.78899999999999</v>
      </c>
      <c r="I1053" s="310">
        <v>94.9161</v>
      </c>
      <c r="J1053" s="310">
        <v>177.21440000000001</v>
      </c>
    </row>
    <row r="1054" spans="1:10" x14ac:dyDescent="0.2">
      <c r="A1054" s="306" t="s">
        <v>130</v>
      </c>
      <c r="B1054" s="308" t="s">
        <v>797</v>
      </c>
      <c r="C1054" s="306" t="s">
        <v>119</v>
      </c>
      <c r="D1054" s="306" t="s">
        <v>798</v>
      </c>
      <c r="E1054" s="311">
        <v>1</v>
      </c>
      <c r="F1054" s="309">
        <v>1</v>
      </c>
      <c r="G1054" s="309">
        <v>0</v>
      </c>
      <c r="H1054" s="310">
        <v>449.19510000000002</v>
      </c>
      <c r="I1054" s="310">
        <v>21.331</v>
      </c>
      <c r="J1054" s="310">
        <v>449.19510000000002</v>
      </c>
    </row>
    <row r="1055" spans="1:10" x14ac:dyDescent="0.2">
      <c r="A1055" s="306" t="s">
        <v>130</v>
      </c>
      <c r="B1055" s="308" t="s">
        <v>722</v>
      </c>
      <c r="C1055" s="306" t="s">
        <v>119</v>
      </c>
      <c r="D1055" s="306" t="s">
        <v>723</v>
      </c>
      <c r="E1055" s="311">
        <v>2</v>
      </c>
      <c r="F1055" s="309">
        <v>1</v>
      </c>
      <c r="G1055" s="309">
        <v>0</v>
      </c>
      <c r="H1055" s="310">
        <v>57.196100000000001</v>
      </c>
      <c r="I1055" s="310">
        <v>39.069099999999999</v>
      </c>
      <c r="J1055" s="310">
        <v>114.3922</v>
      </c>
    </row>
    <row r="1056" spans="1:10" ht="25.5" x14ac:dyDescent="0.2">
      <c r="A1056" s="306" t="s">
        <v>130</v>
      </c>
      <c r="B1056" s="308" t="s">
        <v>799</v>
      </c>
      <c r="C1056" s="306" t="s">
        <v>119</v>
      </c>
      <c r="D1056" s="306" t="s">
        <v>800</v>
      </c>
      <c r="E1056" s="311">
        <v>1</v>
      </c>
      <c r="F1056" s="309">
        <v>1</v>
      </c>
      <c r="G1056" s="309">
        <v>0</v>
      </c>
      <c r="H1056" s="310">
        <v>1114.9775999999999</v>
      </c>
      <c r="I1056" s="310">
        <v>589.09010000000001</v>
      </c>
      <c r="J1056" s="310">
        <v>1114.9775999999999</v>
      </c>
    </row>
    <row r="1057" spans="1:10" x14ac:dyDescent="0.2">
      <c r="A1057" s="364"/>
      <c r="B1057" s="364"/>
      <c r="C1057" s="364"/>
      <c r="D1057" s="364"/>
      <c r="E1057" s="364"/>
      <c r="F1057" s="364"/>
      <c r="G1057" s="364" t="s">
        <v>438</v>
      </c>
      <c r="H1057" s="364"/>
      <c r="I1057" s="364"/>
      <c r="J1057" s="314">
        <v>1931.7659000000001</v>
      </c>
    </row>
    <row r="1058" spans="1:10" ht="15" x14ac:dyDescent="0.2">
      <c r="A1058" s="291" t="s">
        <v>724</v>
      </c>
      <c r="B1058" s="293" t="s">
        <v>6</v>
      </c>
      <c r="C1058" s="291" t="s">
        <v>7</v>
      </c>
      <c r="D1058" s="291" t="s">
        <v>160</v>
      </c>
      <c r="E1058" s="293" t="s">
        <v>430</v>
      </c>
      <c r="F1058" s="363" t="s">
        <v>725</v>
      </c>
      <c r="G1058" s="363"/>
      <c r="H1058" s="363"/>
      <c r="I1058" s="363"/>
      <c r="J1058" s="293" t="s">
        <v>433</v>
      </c>
    </row>
    <row r="1059" spans="1:10" x14ac:dyDescent="0.2">
      <c r="A1059" s="306" t="s">
        <v>130</v>
      </c>
      <c r="B1059" s="308" t="s">
        <v>726</v>
      </c>
      <c r="C1059" s="306" t="s">
        <v>119</v>
      </c>
      <c r="D1059" s="306" t="s">
        <v>727</v>
      </c>
      <c r="E1059" s="311">
        <v>4</v>
      </c>
      <c r="F1059" s="306"/>
      <c r="G1059" s="306"/>
      <c r="H1059" s="306"/>
      <c r="I1059" s="310">
        <v>18.924900000000001</v>
      </c>
      <c r="J1059" s="310">
        <v>75.699600000000004</v>
      </c>
    </row>
    <row r="1060" spans="1:10" x14ac:dyDescent="0.2">
      <c r="A1060" s="364"/>
      <c r="B1060" s="364"/>
      <c r="C1060" s="364"/>
      <c r="D1060" s="364"/>
      <c r="E1060" s="364"/>
      <c r="F1060" s="364"/>
      <c r="G1060" s="364" t="s">
        <v>728</v>
      </c>
      <c r="H1060" s="364"/>
      <c r="I1060" s="364"/>
      <c r="J1060" s="314">
        <v>75.699600000000004</v>
      </c>
    </row>
    <row r="1061" spans="1:10" x14ac:dyDescent="0.2">
      <c r="A1061" s="364"/>
      <c r="B1061" s="364"/>
      <c r="C1061" s="364"/>
      <c r="D1061" s="364"/>
      <c r="E1061" s="364"/>
      <c r="F1061" s="364"/>
      <c r="G1061" s="364" t="s">
        <v>729</v>
      </c>
      <c r="H1061" s="364"/>
      <c r="I1061" s="364"/>
      <c r="J1061" s="314">
        <v>0</v>
      </c>
    </row>
    <row r="1062" spans="1:10" x14ac:dyDescent="0.2">
      <c r="A1062" s="364"/>
      <c r="B1062" s="364"/>
      <c r="C1062" s="364"/>
      <c r="D1062" s="364"/>
      <c r="E1062" s="364"/>
      <c r="F1062" s="364"/>
      <c r="G1062" s="364" t="s">
        <v>439</v>
      </c>
      <c r="H1062" s="364"/>
      <c r="I1062" s="364"/>
      <c r="J1062" s="314">
        <v>2007.4655</v>
      </c>
    </row>
    <row r="1063" spans="1:10" ht="15" customHeight="1" x14ac:dyDescent="0.2">
      <c r="A1063" s="364"/>
      <c r="B1063" s="364"/>
      <c r="C1063" s="364"/>
      <c r="D1063" s="364"/>
      <c r="E1063" s="364"/>
      <c r="F1063" s="364"/>
      <c r="G1063" s="364" t="s">
        <v>440</v>
      </c>
      <c r="H1063" s="364"/>
      <c r="I1063" s="364"/>
      <c r="J1063" s="314">
        <v>0</v>
      </c>
    </row>
    <row r="1064" spans="1:10" x14ac:dyDescent="0.2">
      <c r="A1064" s="364"/>
      <c r="B1064" s="364"/>
      <c r="C1064" s="364"/>
      <c r="D1064" s="364"/>
      <c r="E1064" s="364"/>
      <c r="F1064" s="364"/>
      <c r="G1064" s="364" t="s">
        <v>441</v>
      </c>
      <c r="H1064" s="364"/>
      <c r="I1064" s="364"/>
      <c r="J1064" s="314">
        <v>0</v>
      </c>
    </row>
    <row r="1065" spans="1:10" x14ac:dyDescent="0.2">
      <c r="A1065" s="364"/>
      <c r="B1065" s="364"/>
      <c r="C1065" s="364"/>
      <c r="D1065" s="364"/>
      <c r="E1065" s="364"/>
      <c r="F1065" s="364"/>
      <c r="G1065" s="364" t="s">
        <v>442</v>
      </c>
      <c r="H1065" s="364"/>
      <c r="I1065" s="364"/>
      <c r="J1065" s="314">
        <v>99.6</v>
      </c>
    </row>
    <row r="1066" spans="1:10" x14ac:dyDescent="0.2">
      <c r="A1066" s="364"/>
      <c r="B1066" s="364"/>
      <c r="C1066" s="364"/>
      <c r="D1066" s="364"/>
      <c r="E1066" s="364"/>
      <c r="F1066" s="364"/>
      <c r="G1066" s="364" t="s">
        <v>443</v>
      </c>
      <c r="H1066" s="364"/>
      <c r="I1066" s="364"/>
      <c r="J1066" s="314">
        <v>20.1553</v>
      </c>
    </row>
    <row r="1067" spans="1:10" ht="15" x14ac:dyDescent="0.2">
      <c r="A1067" s="291" t="s">
        <v>801</v>
      </c>
      <c r="B1067" s="293" t="s">
        <v>7</v>
      </c>
      <c r="C1067" s="291" t="s">
        <v>6</v>
      </c>
      <c r="D1067" s="291" t="s">
        <v>61</v>
      </c>
      <c r="E1067" s="293" t="s">
        <v>430</v>
      </c>
      <c r="F1067" s="293" t="s">
        <v>740</v>
      </c>
      <c r="G1067" s="363" t="s">
        <v>741</v>
      </c>
      <c r="H1067" s="363"/>
      <c r="I1067" s="363"/>
      <c r="J1067" s="293" t="s">
        <v>433</v>
      </c>
    </row>
    <row r="1068" spans="1:10" x14ac:dyDescent="0.2">
      <c r="A1068" s="306" t="s">
        <v>130</v>
      </c>
      <c r="B1068" s="308" t="s">
        <v>119</v>
      </c>
      <c r="C1068" s="306" t="s">
        <v>802</v>
      </c>
      <c r="D1068" s="306" t="s">
        <v>803</v>
      </c>
      <c r="E1068" s="311">
        <v>0.32474999999999998</v>
      </c>
      <c r="F1068" s="307" t="s">
        <v>49</v>
      </c>
      <c r="G1068" s="376">
        <v>142.1326</v>
      </c>
      <c r="H1068" s="376"/>
      <c r="I1068" s="365"/>
      <c r="J1068" s="310">
        <v>46.157600000000002</v>
      </c>
    </row>
    <row r="1069" spans="1:10" x14ac:dyDescent="0.2">
      <c r="A1069" s="306" t="s">
        <v>130</v>
      </c>
      <c r="B1069" s="308" t="s">
        <v>119</v>
      </c>
      <c r="C1069" s="306" t="s">
        <v>804</v>
      </c>
      <c r="D1069" s="306" t="s">
        <v>805</v>
      </c>
      <c r="E1069" s="311">
        <v>6.2449999999999999E-2</v>
      </c>
      <c r="F1069" s="307" t="s">
        <v>49</v>
      </c>
      <c r="G1069" s="376">
        <v>126.3139</v>
      </c>
      <c r="H1069" s="376"/>
      <c r="I1069" s="365"/>
      <c r="J1069" s="310">
        <v>7.8883000000000001</v>
      </c>
    </row>
    <row r="1070" spans="1:10" x14ac:dyDescent="0.2">
      <c r="A1070" s="306" t="s">
        <v>130</v>
      </c>
      <c r="B1070" s="308" t="s">
        <v>119</v>
      </c>
      <c r="C1070" s="306" t="s">
        <v>806</v>
      </c>
      <c r="D1070" s="306" t="s">
        <v>807</v>
      </c>
      <c r="E1070" s="311">
        <v>6.2449999999999999E-2</v>
      </c>
      <c r="F1070" s="307" t="s">
        <v>49</v>
      </c>
      <c r="G1070" s="376">
        <v>121.2959</v>
      </c>
      <c r="H1070" s="376"/>
      <c r="I1070" s="365"/>
      <c r="J1070" s="310">
        <v>7.5749000000000004</v>
      </c>
    </row>
    <row r="1071" spans="1:10" x14ac:dyDescent="0.2">
      <c r="A1071" s="306" t="s">
        <v>130</v>
      </c>
      <c r="B1071" s="308" t="s">
        <v>119</v>
      </c>
      <c r="C1071" s="306" t="s">
        <v>808</v>
      </c>
      <c r="D1071" s="306" t="s">
        <v>809</v>
      </c>
      <c r="E1071" s="311">
        <v>56.2</v>
      </c>
      <c r="F1071" s="307" t="s">
        <v>810</v>
      </c>
      <c r="G1071" s="376">
        <v>0.44890000000000002</v>
      </c>
      <c r="H1071" s="376"/>
      <c r="I1071" s="365"/>
      <c r="J1071" s="310">
        <v>25.228200000000001</v>
      </c>
    </row>
    <row r="1072" spans="1:10" x14ac:dyDescent="0.2">
      <c r="A1072" s="306" t="s">
        <v>130</v>
      </c>
      <c r="B1072" s="308" t="s">
        <v>119</v>
      </c>
      <c r="C1072" s="306" t="s">
        <v>811</v>
      </c>
      <c r="D1072" s="306" t="s">
        <v>812</v>
      </c>
      <c r="E1072" s="311">
        <v>8</v>
      </c>
      <c r="F1072" s="307" t="s">
        <v>813</v>
      </c>
      <c r="G1072" s="376">
        <v>6.1741000000000001</v>
      </c>
      <c r="H1072" s="376"/>
      <c r="I1072" s="365"/>
      <c r="J1072" s="310">
        <v>49.392800000000001</v>
      </c>
    </row>
    <row r="1073" spans="1:10" x14ac:dyDescent="0.2">
      <c r="A1073" s="306" t="s">
        <v>130</v>
      </c>
      <c r="B1073" s="308" t="s">
        <v>119</v>
      </c>
      <c r="C1073" s="306" t="s">
        <v>814</v>
      </c>
      <c r="D1073" s="306" t="s">
        <v>815</v>
      </c>
      <c r="E1073" s="311">
        <v>0.13739000000000001</v>
      </c>
      <c r="F1073" s="307" t="s">
        <v>49</v>
      </c>
      <c r="G1073" s="376">
        <v>124.6437</v>
      </c>
      <c r="H1073" s="376"/>
      <c r="I1073" s="365"/>
      <c r="J1073" s="310">
        <v>17.1248</v>
      </c>
    </row>
    <row r="1074" spans="1:10" x14ac:dyDescent="0.2">
      <c r="A1074" s="364"/>
      <c r="B1074" s="364"/>
      <c r="C1074" s="364"/>
      <c r="D1074" s="364"/>
      <c r="E1074" s="364"/>
      <c r="F1074" s="364"/>
      <c r="G1074" s="364" t="s">
        <v>816</v>
      </c>
      <c r="H1074" s="364"/>
      <c r="I1074" s="364"/>
      <c r="J1074" s="314">
        <v>153.36660000000001</v>
      </c>
    </row>
    <row r="1075" spans="1:10" ht="15" x14ac:dyDescent="0.2">
      <c r="A1075" s="291" t="s">
        <v>745</v>
      </c>
      <c r="B1075" s="293" t="s">
        <v>7</v>
      </c>
      <c r="C1075" s="291" t="s">
        <v>130</v>
      </c>
      <c r="D1075" s="291" t="s">
        <v>746</v>
      </c>
      <c r="E1075" s="293" t="s">
        <v>6</v>
      </c>
      <c r="F1075" s="293" t="s">
        <v>430</v>
      </c>
      <c r="G1075" s="292" t="s">
        <v>740</v>
      </c>
      <c r="H1075" s="363" t="s">
        <v>741</v>
      </c>
      <c r="I1075" s="363"/>
      <c r="J1075" s="293" t="s">
        <v>433</v>
      </c>
    </row>
    <row r="1076" spans="1:10" ht="25.5" x14ac:dyDescent="0.2">
      <c r="A1076" s="300" t="s">
        <v>747</v>
      </c>
      <c r="B1076" s="302" t="s">
        <v>119</v>
      </c>
      <c r="C1076" s="300" t="s">
        <v>802</v>
      </c>
      <c r="D1076" s="300" t="s">
        <v>776</v>
      </c>
      <c r="E1076" s="302">
        <v>5914647</v>
      </c>
      <c r="F1076" s="305">
        <v>0.48713000000000001</v>
      </c>
      <c r="G1076" s="301" t="s">
        <v>98</v>
      </c>
      <c r="H1076" s="374">
        <v>1.73</v>
      </c>
      <c r="I1076" s="368"/>
      <c r="J1076" s="304">
        <v>0.8427</v>
      </c>
    </row>
    <row r="1077" spans="1:10" ht="26.25" customHeight="1" x14ac:dyDescent="0.2">
      <c r="A1077" s="300" t="s">
        <v>747</v>
      </c>
      <c r="B1077" s="302" t="s">
        <v>119</v>
      </c>
      <c r="C1077" s="300" t="s">
        <v>804</v>
      </c>
      <c r="D1077" s="300" t="s">
        <v>776</v>
      </c>
      <c r="E1077" s="302">
        <v>5914647</v>
      </c>
      <c r="F1077" s="305">
        <v>9.3679999999999999E-2</v>
      </c>
      <c r="G1077" s="301" t="s">
        <v>98</v>
      </c>
      <c r="H1077" s="374">
        <v>1.73</v>
      </c>
      <c r="I1077" s="368"/>
      <c r="J1077" s="304">
        <v>0.16209999999999999</v>
      </c>
    </row>
    <row r="1078" spans="1:10" ht="25.5" x14ac:dyDescent="0.2">
      <c r="A1078" s="300" t="s">
        <v>747</v>
      </c>
      <c r="B1078" s="302" t="s">
        <v>119</v>
      </c>
      <c r="C1078" s="300" t="s">
        <v>806</v>
      </c>
      <c r="D1078" s="300" t="s">
        <v>776</v>
      </c>
      <c r="E1078" s="302">
        <v>5914647</v>
      </c>
      <c r="F1078" s="305">
        <v>9.3679999999999999E-2</v>
      </c>
      <c r="G1078" s="301" t="s">
        <v>98</v>
      </c>
      <c r="H1078" s="374">
        <v>1.73</v>
      </c>
      <c r="I1078" s="368"/>
      <c r="J1078" s="304">
        <v>0.16209999999999999</v>
      </c>
    </row>
    <row r="1079" spans="1:10" ht="25.5" x14ac:dyDescent="0.2">
      <c r="A1079" s="300" t="s">
        <v>747</v>
      </c>
      <c r="B1079" s="302" t="s">
        <v>119</v>
      </c>
      <c r="C1079" s="300" t="s">
        <v>808</v>
      </c>
      <c r="D1079" s="300" t="s">
        <v>781</v>
      </c>
      <c r="E1079" s="302">
        <v>5914363</v>
      </c>
      <c r="F1079" s="305">
        <v>5.62E-2</v>
      </c>
      <c r="G1079" s="301" t="s">
        <v>98</v>
      </c>
      <c r="H1079" s="374">
        <v>18.43</v>
      </c>
      <c r="I1079" s="368"/>
      <c r="J1079" s="304">
        <v>1.0358000000000001</v>
      </c>
    </row>
    <row r="1080" spans="1:10" ht="25.5" x14ac:dyDescent="0.2">
      <c r="A1080" s="300" t="s">
        <v>747</v>
      </c>
      <c r="B1080" s="302" t="s">
        <v>119</v>
      </c>
      <c r="C1080" s="300" t="s">
        <v>814</v>
      </c>
      <c r="D1080" s="300" t="s">
        <v>776</v>
      </c>
      <c r="E1080" s="302">
        <v>5914647</v>
      </c>
      <c r="F1080" s="305">
        <v>0.20609</v>
      </c>
      <c r="G1080" s="301" t="s">
        <v>98</v>
      </c>
      <c r="H1080" s="374">
        <v>1.73</v>
      </c>
      <c r="I1080" s="368"/>
      <c r="J1080" s="304">
        <v>0.35649999999999998</v>
      </c>
    </row>
    <row r="1081" spans="1:10" x14ac:dyDescent="0.2">
      <c r="A1081" s="364"/>
      <c r="B1081" s="364"/>
      <c r="C1081" s="364"/>
      <c r="D1081" s="364"/>
      <c r="E1081" s="364"/>
      <c r="F1081" s="364"/>
      <c r="G1081" s="364" t="s">
        <v>749</v>
      </c>
      <c r="H1081" s="364"/>
      <c r="I1081" s="364"/>
      <c r="J1081" s="314">
        <v>2.5592000000000001</v>
      </c>
    </row>
    <row r="1082" spans="1:10" ht="15" x14ac:dyDescent="0.2">
      <c r="A1082" s="291" t="s">
        <v>750</v>
      </c>
      <c r="B1082" s="293" t="s">
        <v>7</v>
      </c>
      <c r="C1082" s="291" t="s">
        <v>130</v>
      </c>
      <c r="D1082" s="291" t="s">
        <v>751</v>
      </c>
      <c r="E1082" s="293" t="s">
        <v>430</v>
      </c>
      <c r="F1082" s="293" t="s">
        <v>740</v>
      </c>
      <c r="G1082" s="375" t="s">
        <v>752</v>
      </c>
      <c r="H1082" s="363"/>
      <c r="I1082" s="363"/>
      <c r="J1082" s="293" t="s">
        <v>433</v>
      </c>
    </row>
    <row r="1083" spans="1:10" ht="15" x14ac:dyDescent="0.2">
      <c r="A1083" s="292"/>
      <c r="B1083" s="292"/>
      <c r="C1083" s="292"/>
      <c r="D1083" s="292"/>
      <c r="E1083" s="292"/>
      <c r="F1083" s="292"/>
      <c r="G1083" s="292" t="s">
        <v>753</v>
      </c>
      <c r="H1083" s="292" t="s">
        <v>754</v>
      </c>
      <c r="I1083" s="292" t="s">
        <v>755</v>
      </c>
      <c r="J1083" s="292"/>
    </row>
    <row r="1084" spans="1:10" ht="38.25" x14ac:dyDescent="0.2">
      <c r="A1084" s="300" t="s">
        <v>751</v>
      </c>
      <c r="B1084" s="302" t="s">
        <v>119</v>
      </c>
      <c r="C1084" s="300" t="s">
        <v>802</v>
      </c>
      <c r="D1084" s="300" t="s">
        <v>817</v>
      </c>
      <c r="E1084" s="305">
        <v>0.48713000000000001</v>
      </c>
      <c r="F1084" s="301" t="s">
        <v>122</v>
      </c>
      <c r="G1084" s="302" t="s">
        <v>757</v>
      </c>
      <c r="H1084" s="302" t="s">
        <v>758</v>
      </c>
      <c r="I1084" s="302" t="s">
        <v>759</v>
      </c>
      <c r="J1084" s="304">
        <v>0</v>
      </c>
    </row>
    <row r="1085" spans="1:10" ht="38.25" x14ac:dyDescent="0.2">
      <c r="A1085" s="300" t="s">
        <v>751</v>
      </c>
      <c r="B1085" s="302" t="s">
        <v>119</v>
      </c>
      <c r="C1085" s="300" t="s">
        <v>804</v>
      </c>
      <c r="D1085" s="300" t="s">
        <v>818</v>
      </c>
      <c r="E1085" s="305">
        <v>9.3679999999999999E-2</v>
      </c>
      <c r="F1085" s="301" t="s">
        <v>122</v>
      </c>
      <c r="G1085" s="302" t="s">
        <v>757</v>
      </c>
      <c r="H1085" s="302" t="s">
        <v>758</v>
      </c>
      <c r="I1085" s="302" t="s">
        <v>759</v>
      </c>
      <c r="J1085" s="304">
        <v>0</v>
      </c>
    </row>
    <row r="1086" spans="1:10" ht="38.25" x14ac:dyDescent="0.2">
      <c r="A1086" s="300" t="s">
        <v>751</v>
      </c>
      <c r="B1086" s="302" t="s">
        <v>119</v>
      </c>
      <c r="C1086" s="300" t="s">
        <v>806</v>
      </c>
      <c r="D1086" s="300" t="s">
        <v>819</v>
      </c>
      <c r="E1086" s="305">
        <v>9.3679999999999999E-2</v>
      </c>
      <c r="F1086" s="301" t="s">
        <v>122</v>
      </c>
      <c r="G1086" s="302" t="s">
        <v>757</v>
      </c>
      <c r="H1086" s="302" t="s">
        <v>758</v>
      </c>
      <c r="I1086" s="302" t="s">
        <v>759</v>
      </c>
      <c r="J1086" s="304">
        <v>0</v>
      </c>
    </row>
    <row r="1087" spans="1:10" ht="38.25" x14ac:dyDescent="0.2">
      <c r="A1087" s="300" t="s">
        <v>751</v>
      </c>
      <c r="B1087" s="302" t="s">
        <v>119</v>
      </c>
      <c r="C1087" s="300" t="s">
        <v>808</v>
      </c>
      <c r="D1087" s="300" t="s">
        <v>820</v>
      </c>
      <c r="E1087" s="305">
        <v>5.62E-2</v>
      </c>
      <c r="F1087" s="301" t="s">
        <v>122</v>
      </c>
      <c r="G1087" s="302" t="s">
        <v>821</v>
      </c>
      <c r="H1087" s="302" t="s">
        <v>822</v>
      </c>
      <c r="I1087" s="302"/>
      <c r="J1087" s="304">
        <v>0</v>
      </c>
    </row>
    <row r="1088" spans="1:10" ht="38.25" x14ac:dyDescent="0.2">
      <c r="A1088" s="300" t="s">
        <v>751</v>
      </c>
      <c r="B1088" s="302" t="s">
        <v>119</v>
      </c>
      <c r="C1088" s="300" t="s">
        <v>814</v>
      </c>
      <c r="D1088" s="300" t="s">
        <v>823</v>
      </c>
      <c r="E1088" s="305">
        <v>0.20609</v>
      </c>
      <c r="F1088" s="301" t="s">
        <v>122</v>
      </c>
      <c r="G1088" s="302" t="s">
        <v>757</v>
      </c>
      <c r="H1088" s="302" t="s">
        <v>758</v>
      </c>
      <c r="I1088" s="302" t="s">
        <v>759</v>
      </c>
      <c r="J1088" s="304">
        <v>0</v>
      </c>
    </row>
    <row r="1089" spans="1:10" x14ac:dyDescent="0.2">
      <c r="A1089" s="364"/>
      <c r="B1089" s="364"/>
      <c r="C1089" s="364"/>
      <c r="D1089" s="364"/>
      <c r="E1089" s="364"/>
      <c r="F1089" s="364"/>
      <c r="G1089" s="364" t="s">
        <v>760</v>
      </c>
      <c r="H1089" s="364"/>
      <c r="I1089" s="364"/>
      <c r="J1089" s="314">
        <v>0</v>
      </c>
    </row>
    <row r="1090" spans="1:10" x14ac:dyDescent="0.2">
      <c r="A1090" s="317"/>
      <c r="B1090" s="317"/>
      <c r="C1090" s="317"/>
      <c r="D1090" s="317"/>
      <c r="E1090" s="317"/>
      <c r="F1090" s="318"/>
      <c r="G1090" s="317"/>
      <c r="H1090" s="318"/>
      <c r="I1090" s="317"/>
      <c r="J1090" s="318"/>
    </row>
    <row r="1091" spans="1:10" ht="15" thickBot="1" x14ac:dyDescent="0.25">
      <c r="A1091" s="317"/>
      <c r="B1091" s="317"/>
      <c r="C1091" s="317"/>
      <c r="D1091" s="317"/>
      <c r="E1091" s="317" t="s">
        <v>123</v>
      </c>
      <c r="F1091" s="318">
        <v>41.73</v>
      </c>
      <c r="G1091" s="317"/>
      <c r="H1091" s="366" t="s">
        <v>124</v>
      </c>
      <c r="I1091" s="366"/>
      <c r="J1091" s="318">
        <v>217.81</v>
      </c>
    </row>
    <row r="1092" spans="1:10" ht="15" thickTop="1" x14ac:dyDescent="0.2">
      <c r="A1092" s="299"/>
      <c r="B1092" s="299"/>
      <c r="C1092" s="299"/>
      <c r="D1092" s="299"/>
      <c r="E1092" s="299"/>
      <c r="F1092" s="299"/>
      <c r="G1092" s="299"/>
      <c r="H1092" s="299"/>
      <c r="I1092" s="299"/>
      <c r="J1092" s="299"/>
    </row>
    <row r="1093" spans="1:10" x14ac:dyDescent="0.2">
      <c r="A1093" s="316"/>
      <c r="B1093" s="316"/>
      <c r="C1093" s="316"/>
      <c r="D1093" s="316"/>
      <c r="E1093" s="316"/>
      <c r="F1093" s="316"/>
      <c r="G1093" s="316"/>
      <c r="H1093" s="316"/>
      <c r="I1093" s="316"/>
      <c r="J1093" s="316"/>
    </row>
    <row r="1094" spans="1:10" x14ac:dyDescent="0.2">
      <c r="A1094" s="364"/>
      <c r="B1094" s="364"/>
      <c r="C1094" s="364"/>
      <c r="D1094" s="315"/>
      <c r="E1094" s="313"/>
      <c r="F1094" s="370" t="s">
        <v>1015</v>
      </c>
      <c r="G1094" s="364"/>
      <c r="H1094" s="377">
        <v>27943750.530000001</v>
      </c>
      <c r="I1094" s="364"/>
      <c r="J1094" s="364"/>
    </row>
    <row r="1095" spans="1:10" x14ac:dyDescent="0.2">
      <c r="A1095" s="364"/>
      <c r="B1095" s="364"/>
      <c r="C1095" s="364"/>
      <c r="D1095" s="315"/>
      <c r="E1095" s="313"/>
      <c r="F1095" s="370" t="s">
        <v>1016</v>
      </c>
      <c r="G1095" s="364"/>
      <c r="H1095" s="377">
        <v>5209369.47</v>
      </c>
      <c r="I1095" s="364"/>
      <c r="J1095" s="364"/>
    </row>
    <row r="1096" spans="1:10" ht="15" customHeight="1" x14ac:dyDescent="0.2">
      <c r="A1096" s="364"/>
      <c r="B1096" s="364"/>
      <c r="C1096" s="364"/>
      <c r="D1096" s="315"/>
      <c r="E1096" s="313"/>
      <c r="F1096" s="370" t="s">
        <v>1017</v>
      </c>
      <c r="G1096" s="364"/>
      <c r="H1096" s="377">
        <v>33153120</v>
      </c>
      <c r="I1096" s="364"/>
      <c r="J1096" s="364"/>
    </row>
    <row r="1097" spans="1:10" x14ac:dyDescent="0.2">
      <c r="A1097" s="312"/>
      <c r="B1097" s="312"/>
      <c r="C1097" s="312"/>
      <c r="D1097" s="312"/>
      <c r="E1097" s="312"/>
      <c r="F1097" s="312"/>
      <c r="G1097" s="312"/>
      <c r="H1097" s="312"/>
      <c r="I1097" s="312"/>
      <c r="J1097" s="312"/>
    </row>
    <row r="1098" spans="1:10" x14ac:dyDescent="0.2">
      <c r="A1098" s="378" t="s">
        <v>1018</v>
      </c>
      <c r="B1098" s="372"/>
      <c r="C1098" s="372"/>
      <c r="D1098" s="372"/>
      <c r="E1098" s="372"/>
      <c r="F1098" s="372"/>
      <c r="G1098" s="372"/>
      <c r="H1098" s="372"/>
      <c r="I1098" s="372"/>
      <c r="J1098" s="372"/>
    </row>
    <row r="1099" spans="1:10" x14ac:dyDescent="0.2">
      <c r="A1099" s="162" t="s">
        <v>115</v>
      </c>
      <c r="B1099" s="54" t="s">
        <v>792</v>
      </c>
      <c r="C1099" s="162" t="s">
        <v>119</v>
      </c>
      <c r="D1099" s="162" t="s">
        <v>743</v>
      </c>
      <c r="E1099" s="373" t="s">
        <v>121</v>
      </c>
      <c r="F1099" s="373"/>
      <c r="G1099" s="279" t="s">
        <v>98</v>
      </c>
      <c r="H1099" s="59">
        <v>1</v>
      </c>
      <c r="I1099" s="55">
        <v>176.08</v>
      </c>
      <c r="J1099" s="55">
        <v>176.08</v>
      </c>
    </row>
    <row r="1100" spans="1:10" ht="15" x14ac:dyDescent="0.2">
      <c r="A1100" s="367" t="s">
        <v>428</v>
      </c>
      <c r="B1100" s="363" t="s">
        <v>6</v>
      </c>
      <c r="C1100" s="367" t="s">
        <v>7</v>
      </c>
      <c r="D1100" s="367" t="s">
        <v>429</v>
      </c>
      <c r="E1100" s="363" t="s">
        <v>430</v>
      </c>
      <c r="F1100" s="375" t="s">
        <v>431</v>
      </c>
      <c r="G1100" s="363"/>
      <c r="H1100" s="375" t="s">
        <v>432</v>
      </c>
      <c r="I1100" s="363"/>
      <c r="J1100" s="363" t="s">
        <v>433</v>
      </c>
    </row>
    <row r="1101" spans="1:10" ht="15" x14ac:dyDescent="0.2">
      <c r="A1101" s="363"/>
      <c r="B1101" s="363"/>
      <c r="C1101" s="363"/>
      <c r="D1101" s="363"/>
      <c r="E1101" s="363"/>
      <c r="F1101" s="166" t="s">
        <v>434</v>
      </c>
      <c r="G1101" s="283" t="s">
        <v>435</v>
      </c>
      <c r="H1101" s="166" t="s">
        <v>434</v>
      </c>
      <c r="I1101" s="166" t="s">
        <v>435</v>
      </c>
      <c r="J1101" s="363"/>
    </row>
    <row r="1102" spans="1:10" x14ac:dyDescent="0.2">
      <c r="A1102" s="159" t="s">
        <v>130</v>
      </c>
      <c r="B1102" s="65" t="s">
        <v>793</v>
      </c>
      <c r="C1102" s="159" t="s">
        <v>119</v>
      </c>
      <c r="D1102" s="159" t="s">
        <v>794</v>
      </c>
      <c r="E1102" s="67">
        <v>1</v>
      </c>
      <c r="F1102" s="68">
        <v>1</v>
      </c>
      <c r="G1102" s="284">
        <v>0</v>
      </c>
      <c r="H1102" s="69">
        <v>75.986599999999996</v>
      </c>
      <c r="I1102" s="69">
        <v>43.175899999999999</v>
      </c>
      <c r="J1102" s="69">
        <v>75.986599999999996</v>
      </c>
    </row>
    <row r="1103" spans="1:10" x14ac:dyDescent="0.2">
      <c r="A1103" s="159" t="s">
        <v>130</v>
      </c>
      <c r="B1103" s="65" t="s">
        <v>795</v>
      </c>
      <c r="C1103" s="159" t="s">
        <v>119</v>
      </c>
      <c r="D1103" s="159" t="s">
        <v>796</v>
      </c>
      <c r="E1103" s="67">
        <v>1</v>
      </c>
      <c r="F1103" s="68">
        <v>0.8</v>
      </c>
      <c r="G1103" s="284">
        <v>0.2</v>
      </c>
      <c r="H1103" s="69">
        <v>197.78899999999999</v>
      </c>
      <c r="I1103" s="69">
        <v>94.9161</v>
      </c>
      <c r="J1103" s="69">
        <v>177.21440000000001</v>
      </c>
    </row>
    <row r="1104" spans="1:10" x14ac:dyDescent="0.2">
      <c r="A1104" s="159" t="s">
        <v>130</v>
      </c>
      <c r="B1104" s="65" t="s">
        <v>797</v>
      </c>
      <c r="C1104" s="159" t="s">
        <v>119</v>
      </c>
      <c r="D1104" s="159" t="s">
        <v>798</v>
      </c>
      <c r="E1104" s="67">
        <v>1</v>
      </c>
      <c r="F1104" s="68">
        <v>1</v>
      </c>
      <c r="G1104" s="284">
        <v>0</v>
      </c>
      <c r="H1104" s="69">
        <v>449.19510000000002</v>
      </c>
      <c r="I1104" s="69">
        <v>21.331</v>
      </c>
      <c r="J1104" s="69">
        <v>449.19510000000002</v>
      </c>
    </row>
    <row r="1105" spans="1:10" x14ac:dyDescent="0.2">
      <c r="A1105" s="159" t="s">
        <v>130</v>
      </c>
      <c r="B1105" s="65" t="s">
        <v>722</v>
      </c>
      <c r="C1105" s="159" t="s">
        <v>119</v>
      </c>
      <c r="D1105" s="159" t="s">
        <v>723</v>
      </c>
      <c r="E1105" s="67">
        <v>2</v>
      </c>
      <c r="F1105" s="68">
        <v>1</v>
      </c>
      <c r="G1105" s="284">
        <v>0</v>
      </c>
      <c r="H1105" s="69">
        <v>57.196100000000001</v>
      </c>
      <c r="I1105" s="69">
        <v>39.069099999999999</v>
      </c>
      <c r="J1105" s="69">
        <v>114.3922</v>
      </c>
    </row>
    <row r="1106" spans="1:10" ht="25.5" x14ac:dyDescent="0.2">
      <c r="A1106" s="159" t="s">
        <v>130</v>
      </c>
      <c r="B1106" s="65" t="s">
        <v>799</v>
      </c>
      <c r="C1106" s="159" t="s">
        <v>119</v>
      </c>
      <c r="D1106" s="159" t="s">
        <v>800</v>
      </c>
      <c r="E1106" s="67">
        <v>1</v>
      </c>
      <c r="F1106" s="68">
        <v>1</v>
      </c>
      <c r="G1106" s="284">
        <v>0</v>
      </c>
      <c r="H1106" s="69">
        <v>1114.9775999999999</v>
      </c>
      <c r="I1106" s="69">
        <v>589.09010000000001</v>
      </c>
      <c r="J1106" s="69">
        <v>1114.9775999999999</v>
      </c>
    </row>
    <row r="1107" spans="1:10" x14ac:dyDescent="0.2">
      <c r="A1107" s="364"/>
      <c r="B1107" s="364"/>
      <c r="C1107" s="364"/>
      <c r="D1107" s="364"/>
      <c r="E1107" s="364"/>
      <c r="F1107" s="364"/>
      <c r="G1107" s="364" t="s">
        <v>438</v>
      </c>
      <c r="H1107" s="364"/>
      <c r="I1107" s="364"/>
      <c r="J1107" s="179">
        <v>1931.7659000000001</v>
      </c>
    </row>
    <row r="1108" spans="1:10" ht="15" x14ac:dyDescent="0.2">
      <c r="A1108" s="161" t="s">
        <v>724</v>
      </c>
      <c r="B1108" s="166" t="s">
        <v>6</v>
      </c>
      <c r="C1108" s="161" t="s">
        <v>7</v>
      </c>
      <c r="D1108" s="161" t="s">
        <v>160</v>
      </c>
      <c r="E1108" s="166" t="s">
        <v>430</v>
      </c>
      <c r="F1108" s="363" t="s">
        <v>725</v>
      </c>
      <c r="G1108" s="363"/>
      <c r="H1108" s="363"/>
      <c r="I1108" s="363"/>
      <c r="J1108" s="166" t="s">
        <v>433</v>
      </c>
    </row>
    <row r="1109" spans="1:10" x14ac:dyDescent="0.2">
      <c r="A1109" s="159" t="s">
        <v>130</v>
      </c>
      <c r="B1109" s="65" t="s">
        <v>726</v>
      </c>
      <c r="C1109" s="159" t="s">
        <v>119</v>
      </c>
      <c r="D1109" s="159" t="s">
        <v>727</v>
      </c>
      <c r="E1109" s="67">
        <v>4</v>
      </c>
      <c r="F1109" s="159"/>
      <c r="G1109" s="285"/>
      <c r="H1109" s="159"/>
      <c r="I1109" s="69">
        <v>18.924900000000001</v>
      </c>
      <c r="J1109" s="69">
        <v>75.699600000000004</v>
      </c>
    </row>
    <row r="1110" spans="1:10" x14ac:dyDescent="0.2">
      <c r="A1110" s="364"/>
      <c r="B1110" s="364"/>
      <c r="C1110" s="364"/>
      <c r="D1110" s="364"/>
      <c r="E1110" s="364"/>
      <c r="F1110" s="364"/>
      <c r="G1110" s="364" t="s">
        <v>728</v>
      </c>
      <c r="H1110" s="364"/>
      <c r="I1110" s="364"/>
      <c r="J1110" s="179">
        <v>75.699600000000004</v>
      </c>
    </row>
    <row r="1111" spans="1:10" x14ac:dyDescent="0.2">
      <c r="A1111" s="364"/>
      <c r="B1111" s="364"/>
      <c r="C1111" s="364"/>
      <c r="D1111" s="364"/>
      <c r="E1111" s="364"/>
      <c r="F1111" s="364"/>
      <c r="G1111" s="364" t="s">
        <v>729</v>
      </c>
      <c r="H1111" s="364"/>
      <c r="I1111" s="364"/>
      <c r="J1111" s="179">
        <v>0</v>
      </c>
    </row>
    <row r="1112" spans="1:10" x14ac:dyDescent="0.2">
      <c r="A1112" s="364"/>
      <c r="B1112" s="364"/>
      <c r="C1112" s="364"/>
      <c r="D1112" s="364"/>
      <c r="E1112" s="364"/>
      <c r="F1112" s="364"/>
      <c r="G1112" s="364" t="s">
        <v>439</v>
      </c>
      <c r="H1112" s="364"/>
      <c r="I1112" s="364"/>
      <c r="J1112" s="179">
        <v>2007.4655</v>
      </c>
    </row>
    <row r="1113" spans="1:10" x14ac:dyDescent="0.2">
      <c r="A1113" s="364"/>
      <c r="B1113" s="364"/>
      <c r="C1113" s="364"/>
      <c r="D1113" s="364"/>
      <c r="E1113" s="364"/>
      <c r="F1113" s="364"/>
      <c r="G1113" s="364" t="s">
        <v>440</v>
      </c>
      <c r="H1113" s="364"/>
      <c r="I1113" s="364"/>
      <c r="J1113" s="179">
        <v>0</v>
      </c>
    </row>
    <row r="1114" spans="1:10" x14ac:dyDescent="0.2">
      <c r="A1114" s="364"/>
      <c r="B1114" s="364"/>
      <c r="C1114" s="364"/>
      <c r="D1114" s="364"/>
      <c r="E1114" s="364"/>
      <c r="F1114" s="364"/>
      <c r="G1114" s="364" t="s">
        <v>441</v>
      </c>
      <c r="H1114" s="364"/>
      <c r="I1114" s="364"/>
      <c r="J1114" s="179">
        <v>0</v>
      </c>
    </row>
    <row r="1115" spans="1:10" x14ac:dyDescent="0.2">
      <c r="A1115" s="364"/>
      <c r="B1115" s="364"/>
      <c r="C1115" s="364"/>
      <c r="D1115" s="364"/>
      <c r="E1115" s="364"/>
      <c r="F1115" s="364"/>
      <c r="G1115" s="364" t="s">
        <v>442</v>
      </c>
      <c r="H1115" s="364"/>
      <c r="I1115" s="364"/>
      <c r="J1115" s="179">
        <v>99.6</v>
      </c>
    </row>
    <row r="1116" spans="1:10" x14ac:dyDescent="0.2">
      <c r="A1116" s="364"/>
      <c r="B1116" s="364"/>
      <c r="C1116" s="364"/>
      <c r="D1116" s="364"/>
      <c r="E1116" s="364"/>
      <c r="F1116" s="364"/>
      <c r="G1116" s="364" t="s">
        <v>443</v>
      </c>
      <c r="H1116" s="364"/>
      <c r="I1116" s="364"/>
      <c r="J1116" s="179">
        <v>20.1553</v>
      </c>
    </row>
    <row r="1117" spans="1:10" ht="15" x14ac:dyDescent="0.2">
      <c r="A1117" s="161" t="s">
        <v>801</v>
      </c>
      <c r="B1117" s="166" t="s">
        <v>7</v>
      </c>
      <c r="C1117" s="161" t="s">
        <v>6</v>
      </c>
      <c r="D1117" s="161" t="s">
        <v>61</v>
      </c>
      <c r="E1117" s="166" t="s">
        <v>430</v>
      </c>
      <c r="F1117" s="166" t="s">
        <v>740</v>
      </c>
      <c r="G1117" s="363" t="s">
        <v>741</v>
      </c>
      <c r="H1117" s="363"/>
      <c r="I1117" s="363"/>
      <c r="J1117" s="166" t="s">
        <v>433</v>
      </c>
    </row>
    <row r="1118" spans="1:10" x14ac:dyDescent="0.2">
      <c r="A1118" s="159" t="s">
        <v>130</v>
      </c>
      <c r="B1118" s="65" t="s">
        <v>119</v>
      </c>
      <c r="C1118" s="159" t="s">
        <v>802</v>
      </c>
      <c r="D1118" s="159" t="s">
        <v>803</v>
      </c>
      <c r="E1118" s="67">
        <v>0.32474999999999998</v>
      </c>
      <c r="F1118" s="66" t="s">
        <v>49</v>
      </c>
      <c r="G1118" s="376">
        <v>142.1326</v>
      </c>
      <c r="H1118" s="376"/>
      <c r="I1118" s="365"/>
      <c r="J1118" s="69">
        <v>46.157600000000002</v>
      </c>
    </row>
    <row r="1119" spans="1:10" x14ac:dyDescent="0.2">
      <c r="A1119" s="159" t="s">
        <v>130</v>
      </c>
      <c r="B1119" s="65" t="s">
        <v>119</v>
      </c>
      <c r="C1119" s="159" t="s">
        <v>804</v>
      </c>
      <c r="D1119" s="159" t="s">
        <v>805</v>
      </c>
      <c r="E1119" s="67">
        <v>6.2449999999999999E-2</v>
      </c>
      <c r="F1119" s="66" t="s">
        <v>49</v>
      </c>
      <c r="G1119" s="376">
        <v>126.3139</v>
      </c>
      <c r="H1119" s="376"/>
      <c r="I1119" s="365"/>
      <c r="J1119" s="69">
        <v>7.8883000000000001</v>
      </c>
    </row>
    <row r="1120" spans="1:10" x14ac:dyDescent="0.2">
      <c r="A1120" s="159" t="s">
        <v>130</v>
      </c>
      <c r="B1120" s="65" t="s">
        <v>119</v>
      </c>
      <c r="C1120" s="159" t="s">
        <v>806</v>
      </c>
      <c r="D1120" s="159" t="s">
        <v>807</v>
      </c>
      <c r="E1120" s="67">
        <v>6.2449999999999999E-2</v>
      </c>
      <c r="F1120" s="66" t="s">
        <v>49</v>
      </c>
      <c r="G1120" s="376">
        <v>121.2959</v>
      </c>
      <c r="H1120" s="376"/>
      <c r="I1120" s="365"/>
      <c r="J1120" s="69">
        <v>7.5749000000000004</v>
      </c>
    </row>
    <row r="1121" spans="1:10" x14ac:dyDescent="0.2">
      <c r="A1121" s="159" t="s">
        <v>130</v>
      </c>
      <c r="B1121" s="65" t="s">
        <v>119</v>
      </c>
      <c r="C1121" s="159" t="s">
        <v>808</v>
      </c>
      <c r="D1121" s="159" t="s">
        <v>809</v>
      </c>
      <c r="E1121" s="67">
        <v>56.2</v>
      </c>
      <c r="F1121" s="66" t="s">
        <v>810</v>
      </c>
      <c r="G1121" s="376">
        <v>0.44890000000000002</v>
      </c>
      <c r="H1121" s="376"/>
      <c r="I1121" s="365"/>
      <c r="J1121" s="69">
        <v>25.228200000000001</v>
      </c>
    </row>
    <row r="1122" spans="1:10" x14ac:dyDescent="0.2">
      <c r="A1122" s="159" t="s">
        <v>130</v>
      </c>
      <c r="B1122" s="65" t="s">
        <v>119</v>
      </c>
      <c r="C1122" s="159" t="s">
        <v>811</v>
      </c>
      <c r="D1122" s="159" t="s">
        <v>812</v>
      </c>
      <c r="E1122" s="67">
        <v>8</v>
      </c>
      <c r="F1122" s="66" t="s">
        <v>813</v>
      </c>
      <c r="G1122" s="376">
        <v>6.1741000000000001</v>
      </c>
      <c r="H1122" s="376"/>
      <c r="I1122" s="365"/>
      <c r="J1122" s="69">
        <v>49.392800000000001</v>
      </c>
    </row>
    <row r="1123" spans="1:10" x14ac:dyDescent="0.2">
      <c r="A1123" s="159" t="s">
        <v>130</v>
      </c>
      <c r="B1123" s="65" t="s">
        <v>119</v>
      </c>
      <c r="C1123" s="159" t="s">
        <v>814</v>
      </c>
      <c r="D1123" s="159" t="s">
        <v>815</v>
      </c>
      <c r="E1123" s="67">
        <v>0.13739000000000001</v>
      </c>
      <c r="F1123" s="66" t="s">
        <v>49</v>
      </c>
      <c r="G1123" s="376">
        <v>124.6437</v>
      </c>
      <c r="H1123" s="376"/>
      <c r="I1123" s="365"/>
      <c r="J1123" s="69">
        <v>17.1248</v>
      </c>
    </row>
    <row r="1124" spans="1:10" x14ac:dyDescent="0.2">
      <c r="A1124" s="364"/>
      <c r="B1124" s="364"/>
      <c r="C1124" s="364"/>
      <c r="D1124" s="364"/>
      <c r="E1124" s="364"/>
      <c r="F1124" s="364"/>
      <c r="G1124" s="364" t="s">
        <v>816</v>
      </c>
      <c r="H1124" s="364"/>
      <c r="I1124" s="364"/>
      <c r="J1124" s="179">
        <v>153.36660000000001</v>
      </c>
    </row>
    <row r="1125" spans="1:10" ht="15" x14ac:dyDescent="0.2">
      <c r="A1125" s="161" t="s">
        <v>745</v>
      </c>
      <c r="B1125" s="166" t="s">
        <v>7</v>
      </c>
      <c r="C1125" s="161" t="s">
        <v>130</v>
      </c>
      <c r="D1125" s="161" t="s">
        <v>746</v>
      </c>
      <c r="E1125" s="166" t="s">
        <v>6</v>
      </c>
      <c r="F1125" s="166" t="s">
        <v>430</v>
      </c>
      <c r="G1125" s="278" t="s">
        <v>740</v>
      </c>
      <c r="H1125" s="363" t="s">
        <v>741</v>
      </c>
      <c r="I1125" s="363"/>
      <c r="J1125" s="166" t="s">
        <v>433</v>
      </c>
    </row>
    <row r="1126" spans="1:10" ht="25.5" x14ac:dyDescent="0.2">
      <c r="A1126" s="163" t="s">
        <v>747</v>
      </c>
      <c r="B1126" s="60" t="s">
        <v>119</v>
      </c>
      <c r="C1126" s="163" t="s">
        <v>802</v>
      </c>
      <c r="D1126" s="163" t="s">
        <v>776</v>
      </c>
      <c r="E1126" s="60">
        <v>5914647</v>
      </c>
      <c r="F1126" s="62">
        <v>0.48713000000000001</v>
      </c>
      <c r="G1126" s="282" t="s">
        <v>98</v>
      </c>
      <c r="H1126" s="374">
        <v>1.73</v>
      </c>
      <c r="I1126" s="368"/>
      <c r="J1126" s="180">
        <v>0.8427</v>
      </c>
    </row>
    <row r="1127" spans="1:10" ht="25.5" x14ac:dyDescent="0.2">
      <c r="A1127" s="163" t="s">
        <v>747</v>
      </c>
      <c r="B1127" s="60" t="s">
        <v>119</v>
      </c>
      <c r="C1127" s="163" t="s">
        <v>804</v>
      </c>
      <c r="D1127" s="163" t="s">
        <v>776</v>
      </c>
      <c r="E1127" s="60">
        <v>5914647</v>
      </c>
      <c r="F1127" s="62">
        <v>9.3679999999999999E-2</v>
      </c>
      <c r="G1127" s="282" t="s">
        <v>98</v>
      </c>
      <c r="H1127" s="374">
        <v>1.73</v>
      </c>
      <c r="I1127" s="368"/>
      <c r="J1127" s="180">
        <v>0.16209999999999999</v>
      </c>
    </row>
    <row r="1128" spans="1:10" ht="25.5" x14ac:dyDescent="0.2">
      <c r="A1128" s="163" t="s">
        <v>747</v>
      </c>
      <c r="B1128" s="60" t="s">
        <v>119</v>
      </c>
      <c r="C1128" s="163" t="s">
        <v>806</v>
      </c>
      <c r="D1128" s="163" t="s">
        <v>776</v>
      </c>
      <c r="E1128" s="60">
        <v>5914647</v>
      </c>
      <c r="F1128" s="62">
        <v>9.3679999999999999E-2</v>
      </c>
      <c r="G1128" s="282" t="s">
        <v>98</v>
      </c>
      <c r="H1128" s="374">
        <v>1.73</v>
      </c>
      <c r="I1128" s="368"/>
      <c r="J1128" s="180">
        <v>0.16209999999999999</v>
      </c>
    </row>
    <row r="1129" spans="1:10" ht="25.5" x14ac:dyDescent="0.2">
      <c r="A1129" s="163" t="s">
        <v>747</v>
      </c>
      <c r="B1129" s="60" t="s">
        <v>119</v>
      </c>
      <c r="C1129" s="163" t="s">
        <v>808</v>
      </c>
      <c r="D1129" s="163" t="s">
        <v>781</v>
      </c>
      <c r="E1129" s="60">
        <v>5914363</v>
      </c>
      <c r="F1129" s="62">
        <v>5.62E-2</v>
      </c>
      <c r="G1129" s="282" t="s">
        <v>98</v>
      </c>
      <c r="H1129" s="374">
        <v>18.43</v>
      </c>
      <c r="I1129" s="368"/>
      <c r="J1129" s="180">
        <v>1.0358000000000001</v>
      </c>
    </row>
    <row r="1130" spans="1:10" ht="25.5" x14ac:dyDescent="0.2">
      <c r="A1130" s="163" t="s">
        <v>747</v>
      </c>
      <c r="B1130" s="60" t="s">
        <v>119</v>
      </c>
      <c r="C1130" s="163" t="s">
        <v>814</v>
      </c>
      <c r="D1130" s="163" t="s">
        <v>776</v>
      </c>
      <c r="E1130" s="60">
        <v>5914647</v>
      </c>
      <c r="F1130" s="62">
        <v>0.20609</v>
      </c>
      <c r="G1130" s="282" t="s">
        <v>98</v>
      </c>
      <c r="H1130" s="374">
        <v>1.73</v>
      </c>
      <c r="I1130" s="368"/>
      <c r="J1130" s="180">
        <v>0.35649999999999998</v>
      </c>
    </row>
    <row r="1131" spans="1:10" x14ac:dyDescent="0.2">
      <c r="A1131" s="364"/>
      <c r="B1131" s="364"/>
      <c r="C1131" s="364"/>
      <c r="D1131" s="364"/>
      <c r="E1131" s="364"/>
      <c r="F1131" s="364"/>
      <c r="G1131" s="364" t="s">
        <v>749</v>
      </c>
      <c r="H1131" s="364"/>
      <c r="I1131" s="364"/>
      <c r="J1131" s="179">
        <v>2.5592000000000001</v>
      </c>
    </row>
    <row r="1132" spans="1:10" ht="15" x14ac:dyDescent="0.2">
      <c r="A1132" s="161" t="s">
        <v>750</v>
      </c>
      <c r="B1132" s="166" t="s">
        <v>7</v>
      </c>
      <c r="C1132" s="161" t="s">
        <v>130</v>
      </c>
      <c r="D1132" s="161" t="s">
        <v>751</v>
      </c>
      <c r="E1132" s="166" t="s">
        <v>430</v>
      </c>
      <c r="F1132" s="166" t="s">
        <v>740</v>
      </c>
      <c r="G1132" s="375" t="s">
        <v>752</v>
      </c>
      <c r="H1132" s="363"/>
      <c r="I1132" s="363"/>
      <c r="J1132" s="166" t="s">
        <v>433</v>
      </c>
    </row>
    <row r="1133" spans="1:10" ht="15" x14ac:dyDescent="0.2">
      <c r="A1133" s="165"/>
      <c r="B1133" s="165"/>
      <c r="C1133" s="165"/>
      <c r="D1133" s="165"/>
      <c r="E1133" s="165"/>
      <c r="F1133" s="165"/>
      <c r="G1133" s="278" t="s">
        <v>753</v>
      </c>
      <c r="H1133" s="165" t="s">
        <v>754</v>
      </c>
      <c r="I1133" s="165" t="s">
        <v>755</v>
      </c>
      <c r="J1133" s="165"/>
    </row>
    <row r="1134" spans="1:10" ht="38.25" x14ac:dyDescent="0.2">
      <c r="A1134" s="163" t="s">
        <v>751</v>
      </c>
      <c r="B1134" s="60" t="s">
        <v>119</v>
      </c>
      <c r="C1134" s="163" t="s">
        <v>802</v>
      </c>
      <c r="D1134" s="163" t="s">
        <v>817</v>
      </c>
      <c r="E1134" s="62">
        <v>0.48713000000000001</v>
      </c>
      <c r="F1134" s="61" t="s">
        <v>122</v>
      </c>
      <c r="G1134" s="286" t="s">
        <v>757</v>
      </c>
      <c r="H1134" s="60" t="s">
        <v>758</v>
      </c>
      <c r="I1134" s="60" t="s">
        <v>759</v>
      </c>
      <c r="J1134" s="180">
        <v>0</v>
      </c>
    </row>
    <row r="1135" spans="1:10" ht="38.25" x14ac:dyDescent="0.2">
      <c r="A1135" s="163" t="s">
        <v>751</v>
      </c>
      <c r="B1135" s="60" t="s">
        <v>119</v>
      </c>
      <c r="C1135" s="163" t="s">
        <v>804</v>
      </c>
      <c r="D1135" s="163" t="s">
        <v>818</v>
      </c>
      <c r="E1135" s="62">
        <v>9.3679999999999999E-2</v>
      </c>
      <c r="F1135" s="61" t="s">
        <v>122</v>
      </c>
      <c r="G1135" s="286" t="s">
        <v>757</v>
      </c>
      <c r="H1135" s="60" t="s">
        <v>758</v>
      </c>
      <c r="I1135" s="60" t="s">
        <v>759</v>
      </c>
      <c r="J1135" s="180">
        <v>0</v>
      </c>
    </row>
    <row r="1136" spans="1:10" ht="38.25" x14ac:dyDescent="0.2">
      <c r="A1136" s="163" t="s">
        <v>751</v>
      </c>
      <c r="B1136" s="60" t="s">
        <v>119</v>
      </c>
      <c r="C1136" s="163" t="s">
        <v>806</v>
      </c>
      <c r="D1136" s="163" t="s">
        <v>819</v>
      </c>
      <c r="E1136" s="62">
        <v>9.3679999999999999E-2</v>
      </c>
      <c r="F1136" s="61" t="s">
        <v>122</v>
      </c>
      <c r="G1136" s="286" t="s">
        <v>757</v>
      </c>
      <c r="H1136" s="60" t="s">
        <v>758</v>
      </c>
      <c r="I1136" s="60" t="s">
        <v>759</v>
      </c>
      <c r="J1136" s="180">
        <v>0</v>
      </c>
    </row>
    <row r="1137" spans="1:10" ht="38.25" x14ac:dyDescent="0.2">
      <c r="A1137" s="163" t="s">
        <v>751</v>
      </c>
      <c r="B1137" s="60" t="s">
        <v>119</v>
      </c>
      <c r="C1137" s="163" t="s">
        <v>808</v>
      </c>
      <c r="D1137" s="163" t="s">
        <v>820</v>
      </c>
      <c r="E1137" s="62">
        <v>5.62E-2</v>
      </c>
      <c r="F1137" s="61" t="s">
        <v>122</v>
      </c>
      <c r="G1137" s="286" t="s">
        <v>821</v>
      </c>
      <c r="H1137" s="60" t="s">
        <v>822</v>
      </c>
      <c r="I1137" s="60"/>
      <c r="J1137" s="180">
        <v>0</v>
      </c>
    </row>
    <row r="1138" spans="1:10" ht="38.25" x14ac:dyDescent="0.2">
      <c r="A1138" s="163" t="s">
        <v>751</v>
      </c>
      <c r="B1138" s="60" t="s">
        <v>119</v>
      </c>
      <c r="C1138" s="163" t="s">
        <v>814</v>
      </c>
      <c r="D1138" s="163" t="s">
        <v>823</v>
      </c>
      <c r="E1138" s="62">
        <v>0.20609</v>
      </c>
      <c r="F1138" s="61" t="s">
        <v>122</v>
      </c>
      <c r="G1138" s="286" t="s">
        <v>757</v>
      </c>
      <c r="H1138" s="60" t="s">
        <v>758</v>
      </c>
      <c r="I1138" s="60" t="s">
        <v>759</v>
      </c>
      <c r="J1138" s="180">
        <v>0</v>
      </c>
    </row>
    <row r="1139" spans="1:10" x14ac:dyDescent="0.2">
      <c r="A1139" s="364"/>
      <c r="B1139" s="364"/>
      <c r="C1139" s="364"/>
      <c r="D1139" s="364"/>
      <c r="E1139" s="364"/>
      <c r="F1139" s="364"/>
      <c r="G1139" s="364" t="s">
        <v>760</v>
      </c>
      <c r="H1139" s="364"/>
      <c r="I1139" s="364"/>
      <c r="J1139" s="179">
        <v>0</v>
      </c>
    </row>
    <row r="1140" spans="1:10" x14ac:dyDescent="0.2">
      <c r="A1140" s="160"/>
      <c r="B1140" s="160"/>
      <c r="C1140" s="160"/>
      <c r="D1140" s="160"/>
      <c r="E1140" s="160"/>
      <c r="F1140" s="63"/>
      <c r="G1140" s="280"/>
      <c r="H1140" s="63"/>
      <c r="I1140" s="160"/>
      <c r="J1140" s="63"/>
    </row>
    <row r="1141" spans="1:10" ht="15" thickBot="1" x14ac:dyDescent="0.25">
      <c r="A1141" s="160"/>
      <c r="B1141" s="160"/>
      <c r="C1141" s="160"/>
      <c r="D1141" s="160"/>
      <c r="E1141" s="160" t="s">
        <v>123</v>
      </c>
      <c r="F1141" s="63">
        <v>41.73</v>
      </c>
      <c r="G1141" s="280"/>
      <c r="H1141" s="366" t="s">
        <v>124</v>
      </c>
      <c r="I1141" s="366"/>
      <c r="J1141" s="63">
        <v>217.81</v>
      </c>
    </row>
    <row r="1142" spans="1:10" ht="15" thickTop="1" x14ac:dyDescent="0.2">
      <c r="A1142" s="64"/>
      <c r="B1142" s="64"/>
      <c r="C1142" s="64"/>
      <c r="D1142" s="64"/>
      <c r="E1142" s="64"/>
      <c r="F1142" s="64"/>
      <c r="G1142" s="281"/>
      <c r="H1142" s="64"/>
      <c r="I1142" s="64"/>
      <c r="J1142" s="64"/>
    </row>
    <row r="1143" spans="1:10" x14ac:dyDescent="0.2">
      <c r="A1143" s="56"/>
      <c r="B1143" s="56"/>
      <c r="C1143" s="56"/>
      <c r="D1143" s="56"/>
      <c r="E1143" s="56"/>
      <c r="F1143" s="56"/>
      <c r="G1143" s="288"/>
      <c r="H1143" s="56"/>
      <c r="I1143" s="56"/>
      <c r="J1143" s="56"/>
    </row>
    <row r="1144" spans="1:10" x14ac:dyDescent="0.2">
      <c r="A1144" s="364"/>
      <c r="B1144" s="364"/>
      <c r="C1144" s="364"/>
      <c r="D1144" s="181"/>
      <c r="E1144" s="164"/>
      <c r="F1144" s="370"/>
      <c r="G1144" s="364"/>
      <c r="H1144" s="377"/>
      <c r="I1144" s="364"/>
      <c r="J1144" s="364"/>
    </row>
    <row r="1145" spans="1:10" x14ac:dyDescent="0.2">
      <c r="A1145" s="364"/>
      <c r="B1145" s="364"/>
      <c r="C1145" s="364"/>
      <c r="D1145" s="181"/>
      <c r="E1145" s="164"/>
      <c r="F1145" s="370"/>
      <c r="G1145" s="364"/>
      <c r="H1145" s="377"/>
      <c r="I1145" s="364"/>
      <c r="J1145" s="364"/>
    </row>
    <row r="1146" spans="1:10" x14ac:dyDescent="0.2">
      <c r="A1146" s="364"/>
      <c r="B1146" s="364"/>
      <c r="C1146" s="364"/>
      <c r="D1146" s="181"/>
      <c r="E1146" s="164"/>
      <c r="F1146" s="370"/>
      <c r="G1146" s="364"/>
      <c r="H1146" s="377"/>
      <c r="I1146" s="364"/>
      <c r="J1146" s="364"/>
    </row>
    <row r="1147" spans="1:10" x14ac:dyDescent="0.2">
      <c r="A1147" s="182"/>
      <c r="B1147" s="182"/>
      <c r="C1147" s="182"/>
      <c r="D1147" s="182"/>
      <c r="E1147" s="182"/>
      <c r="F1147" s="182"/>
      <c r="G1147" s="289"/>
      <c r="H1147" s="182"/>
      <c r="I1147" s="182"/>
      <c r="J1147" s="182"/>
    </row>
    <row r="1148" spans="1:10" x14ac:dyDescent="0.2">
      <c r="A1148" s="378"/>
      <c r="B1148" s="372"/>
      <c r="C1148" s="372"/>
      <c r="D1148" s="372"/>
      <c r="E1148" s="372"/>
      <c r="F1148" s="372"/>
      <c r="G1148" s="372"/>
      <c r="H1148" s="372"/>
      <c r="I1148" s="372"/>
      <c r="J1148" s="372"/>
    </row>
  </sheetData>
  <autoFilter ref="A5:J1148" xr:uid="{D645557A-15EE-40C4-96D0-4A758FED641B}"/>
  <mergeCells count="1237">
    <mergeCell ref="H51:I51"/>
    <mergeCell ref="E52:F52"/>
    <mergeCell ref="H52:I52"/>
    <mergeCell ref="A1148:J1148"/>
    <mergeCell ref="A1145:C1145"/>
    <mergeCell ref="F1145:G1145"/>
    <mergeCell ref="H1145:J1145"/>
    <mergeCell ref="A1146:C1146"/>
    <mergeCell ref="F1146:G1146"/>
    <mergeCell ref="H1146:J1146"/>
    <mergeCell ref="A1139:F1139"/>
    <mergeCell ref="G1139:I1139"/>
    <mergeCell ref="H1141:I1141"/>
    <mergeCell ref="A1144:C1144"/>
    <mergeCell ref="F1144:G1144"/>
    <mergeCell ref="H1144:J1144"/>
    <mergeCell ref="H1128:I1128"/>
    <mergeCell ref="H1129:I1129"/>
    <mergeCell ref="H1130:I1130"/>
    <mergeCell ref="A1131:F1131"/>
    <mergeCell ref="G1131:I1131"/>
    <mergeCell ref="G1132:I1132"/>
    <mergeCell ref="G1123:I1123"/>
    <mergeCell ref="A1124:F1124"/>
    <mergeCell ref="G1124:I1124"/>
    <mergeCell ref="H1125:I1125"/>
    <mergeCell ref="H1126:I1126"/>
    <mergeCell ref="H1127:I1127"/>
    <mergeCell ref="G1117:I1117"/>
    <mergeCell ref="G1118:I1118"/>
    <mergeCell ref="G1119:I1119"/>
    <mergeCell ref="G1120:I1120"/>
    <mergeCell ref="G1121:I1121"/>
    <mergeCell ref="G1122:I1122"/>
    <mergeCell ref="A1114:F1114"/>
    <mergeCell ref="G1114:I1114"/>
    <mergeCell ref="A1115:F1115"/>
    <mergeCell ref="G1115:I1115"/>
    <mergeCell ref="A1116:F1116"/>
    <mergeCell ref="G1116:I1116"/>
    <mergeCell ref="A1112:F1112"/>
    <mergeCell ref="G1112:I1112"/>
    <mergeCell ref="A1113:F1113"/>
    <mergeCell ref="G1113:I1113"/>
    <mergeCell ref="H1100:I1100"/>
    <mergeCell ref="J1100:J1101"/>
    <mergeCell ref="A1107:F1107"/>
    <mergeCell ref="G1107:I1107"/>
    <mergeCell ref="F1108:I1108"/>
    <mergeCell ref="A1110:F1110"/>
    <mergeCell ref="G1110:I1110"/>
    <mergeCell ref="E1099:F1099"/>
    <mergeCell ref="A1100:A1101"/>
    <mergeCell ref="B1100:B1101"/>
    <mergeCell ref="C1100:C1101"/>
    <mergeCell ref="D1100:D1101"/>
    <mergeCell ref="E1100:E1101"/>
    <mergeCell ref="F1100:G1100"/>
    <mergeCell ref="G1082:I1082"/>
    <mergeCell ref="A1089:F1089"/>
    <mergeCell ref="G1089:I1089"/>
    <mergeCell ref="H1091:I1091"/>
    <mergeCell ref="A1094:C1094"/>
    <mergeCell ref="F1094:G1094"/>
    <mergeCell ref="H1094:J1094"/>
    <mergeCell ref="A1095:C1095"/>
    <mergeCell ref="F1095:G1095"/>
    <mergeCell ref="H1095:J1095"/>
    <mergeCell ref="A1096:C1096"/>
    <mergeCell ref="F1096:G1096"/>
    <mergeCell ref="H1096:J1096"/>
    <mergeCell ref="H1075:I1075"/>
    <mergeCell ref="A1111:F1111"/>
    <mergeCell ref="G1111:I1111"/>
    <mergeCell ref="A1098:J1098"/>
    <mergeCell ref="H1076:I1076"/>
    <mergeCell ref="H1077:I1077"/>
    <mergeCell ref="H1078:I1078"/>
    <mergeCell ref="H1079:I1079"/>
    <mergeCell ref="H1080:I1080"/>
    <mergeCell ref="A1081:F1081"/>
    <mergeCell ref="G1081:I1081"/>
    <mergeCell ref="A996:F996"/>
    <mergeCell ref="G996:I996"/>
    <mergeCell ref="A997:F997"/>
    <mergeCell ref="G997:I997"/>
    <mergeCell ref="H999:I999"/>
    <mergeCell ref="E1001:F1001"/>
    <mergeCell ref="E1002:F1002"/>
    <mergeCell ref="E1033:F1033"/>
    <mergeCell ref="H1035:I1035"/>
    <mergeCell ref="E1037:F1037"/>
    <mergeCell ref="E1038:F1038"/>
    <mergeCell ref="E1039:F1039"/>
    <mergeCell ref="E1040:F1040"/>
    <mergeCell ref="E1041:F1041"/>
    <mergeCell ref="E1042:F1042"/>
    <mergeCell ref="E1043:F1043"/>
    <mergeCell ref="G1067:I1067"/>
    <mergeCell ref="A1020:F1020"/>
    <mergeCell ref="G1020:I1020"/>
    <mergeCell ref="A1021:F1021"/>
    <mergeCell ref="G1021:I1021"/>
    <mergeCell ref="A1022:F1022"/>
    <mergeCell ref="G1022:I1022"/>
    <mergeCell ref="A1023:F1023"/>
    <mergeCell ref="G1023:I1023"/>
    <mergeCell ref="A1024:F1024"/>
    <mergeCell ref="G1024:I1024"/>
    <mergeCell ref="A1025:F1025"/>
    <mergeCell ref="G1025:I1025"/>
    <mergeCell ref="H1027:I1027"/>
    <mergeCell ref="E1029:F1029"/>
    <mergeCell ref="E1030:F1030"/>
    <mergeCell ref="A968:F968"/>
    <mergeCell ref="G968:I968"/>
    <mergeCell ref="A969:F969"/>
    <mergeCell ref="G969:I969"/>
    <mergeCell ref="H971:I971"/>
    <mergeCell ref="E973:F973"/>
    <mergeCell ref="E974:F974"/>
    <mergeCell ref="E953:F953"/>
    <mergeCell ref="E954:F954"/>
    <mergeCell ref="E955:F955"/>
    <mergeCell ref="A992:F992"/>
    <mergeCell ref="G992:I992"/>
    <mergeCell ref="A993:F993"/>
    <mergeCell ref="G993:I993"/>
    <mergeCell ref="A994:F994"/>
    <mergeCell ref="G994:I994"/>
    <mergeCell ref="A995:F995"/>
    <mergeCell ref="G995:I995"/>
    <mergeCell ref="E975:E976"/>
    <mergeCell ref="F975:G975"/>
    <mergeCell ref="H975:I975"/>
    <mergeCell ref="G920:I920"/>
    <mergeCell ref="G921:I921"/>
    <mergeCell ref="A922:F922"/>
    <mergeCell ref="G922:I922"/>
    <mergeCell ref="H923:I923"/>
    <mergeCell ref="H924:I924"/>
    <mergeCell ref="H925:I925"/>
    <mergeCell ref="A926:F926"/>
    <mergeCell ref="G926:I926"/>
    <mergeCell ref="G927:I927"/>
    <mergeCell ref="A931:F931"/>
    <mergeCell ref="G931:I931"/>
    <mergeCell ref="A966:F966"/>
    <mergeCell ref="G966:I966"/>
    <mergeCell ref="A967:F967"/>
    <mergeCell ref="G967:I967"/>
    <mergeCell ref="H957:I957"/>
    <mergeCell ref="E959:F959"/>
    <mergeCell ref="E960:F960"/>
    <mergeCell ref="A961:A962"/>
    <mergeCell ref="B961:B962"/>
    <mergeCell ref="C961:C962"/>
    <mergeCell ref="D961:D962"/>
    <mergeCell ref="E961:E962"/>
    <mergeCell ref="F961:G961"/>
    <mergeCell ref="H961:I961"/>
    <mergeCell ref="E950:F950"/>
    <mergeCell ref="E951:F951"/>
    <mergeCell ref="E952:F952"/>
    <mergeCell ref="G916:I916"/>
    <mergeCell ref="G917:I917"/>
    <mergeCell ref="G918:I918"/>
    <mergeCell ref="A877:F877"/>
    <mergeCell ref="G877:I877"/>
    <mergeCell ref="A878:F878"/>
    <mergeCell ref="G878:I878"/>
    <mergeCell ref="A879:F879"/>
    <mergeCell ref="G879:I879"/>
    <mergeCell ref="A880:F880"/>
    <mergeCell ref="G880:I880"/>
    <mergeCell ref="A881:F881"/>
    <mergeCell ref="G881:I881"/>
    <mergeCell ref="G882:I882"/>
    <mergeCell ref="G883:I883"/>
    <mergeCell ref="A919:F919"/>
    <mergeCell ref="G919:I919"/>
    <mergeCell ref="A913:F913"/>
    <mergeCell ref="G913:I913"/>
    <mergeCell ref="A914:F914"/>
    <mergeCell ref="G914:I914"/>
    <mergeCell ref="A915:F915"/>
    <mergeCell ref="G915:I915"/>
    <mergeCell ref="A897:A898"/>
    <mergeCell ref="B897:B898"/>
    <mergeCell ref="C897:C898"/>
    <mergeCell ref="D897:D898"/>
    <mergeCell ref="E897:E898"/>
    <mergeCell ref="F897:G897"/>
    <mergeCell ref="H897:I897"/>
    <mergeCell ref="E793:F793"/>
    <mergeCell ref="E794:F794"/>
    <mergeCell ref="E795:F795"/>
    <mergeCell ref="E796:F796"/>
    <mergeCell ref="E797:F797"/>
    <mergeCell ref="H799:I799"/>
    <mergeCell ref="E801:F801"/>
    <mergeCell ref="E802:F802"/>
    <mergeCell ref="F803:I803"/>
    <mergeCell ref="E817:F817"/>
    <mergeCell ref="E818:F818"/>
    <mergeCell ref="E819:F819"/>
    <mergeCell ref="E820:F820"/>
    <mergeCell ref="E821:F821"/>
    <mergeCell ref="E822:F822"/>
    <mergeCell ref="E823:F823"/>
    <mergeCell ref="E824:F824"/>
    <mergeCell ref="E785:F785"/>
    <mergeCell ref="E786:F786"/>
    <mergeCell ref="E787:F787"/>
    <mergeCell ref="E788:F788"/>
    <mergeCell ref="E789:F789"/>
    <mergeCell ref="E770:F770"/>
    <mergeCell ref="E771:F771"/>
    <mergeCell ref="E772:F772"/>
    <mergeCell ref="E773:F773"/>
    <mergeCell ref="E774:F774"/>
    <mergeCell ref="H776:I776"/>
    <mergeCell ref="E778:F778"/>
    <mergeCell ref="E779:F779"/>
    <mergeCell ref="E780:F780"/>
    <mergeCell ref="E790:F790"/>
    <mergeCell ref="E791:F791"/>
    <mergeCell ref="E792:F792"/>
    <mergeCell ref="E781:F781"/>
    <mergeCell ref="E782:F782"/>
    <mergeCell ref="E783:F783"/>
    <mergeCell ref="E784:F784"/>
    <mergeCell ref="H659:I659"/>
    <mergeCell ref="H684:I684"/>
    <mergeCell ref="H685:I685"/>
    <mergeCell ref="H686:I686"/>
    <mergeCell ref="H687:I687"/>
    <mergeCell ref="H688:I688"/>
    <mergeCell ref="H689:I689"/>
    <mergeCell ref="A690:F690"/>
    <mergeCell ref="G690:I690"/>
    <mergeCell ref="G691:I691"/>
    <mergeCell ref="A698:F698"/>
    <mergeCell ref="G698:I698"/>
    <mergeCell ref="H700:I700"/>
    <mergeCell ref="E702:F702"/>
    <mergeCell ref="E703:F703"/>
    <mergeCell ref="E728:F728"/>
    <mergeCell ref="E729:F729"/>
    <mergeCell ref="H581:I581"/>
    <mergeCell ref="E583:F583"/>
    <mergeCell ref="E584:F584"/>
    <mergeCell ref="E585:F585"/>
    <mergeCell ref="H587:I587"/>
    <mergeCell ref="A630:F630"/>
    <mergeCell ref="G630:I630"/>
    <mergeCell ref="A631:F631"/>
    <mergeCell ref="G631:I631"/>
    <mergeCell ref="A632:F632"/>
    <mergeCell ref="G632:I632"/>
    <mergeCell ref="A633:F633"/>
    <mergeCell ref="G633:I633"/>
    <mergeCell ref="A634:F634"/>
    <mergeCell ref="H655:I655"/>
    <mergeCell ref="E657:F657"/>
    <mergeCell ref="E658:F658"/>
    <mergeCell ref="G634:I634"/>
    <mergeCell ref="A635:F635"/>
    <mergeCell ref="G635:I635"/>
    <mergeCell ref="H637:I637"/>
    <mergeCell ref="E639:F639"/>
    <mergeCell ref="E640:F640"/>
    <mergeCell ref="A641:A642"/>
    <mergeCell ref="B641:B642"/>
    <mergeCell ref="C641:C642"/>
    <mergeCell ref="D641:D642"/>
    <mergeCell ref="E641:E642"/>
    <mergeCell ref="F641:G641"/>
    <mergeCell ref="H641:I641"/>
    <mergeCell ref="E614:F614"/>
    <mergeCell ref="E615:F615"/>
    <mergeCell ref="E578:F578"/>
    <mergeCell ref="E579:F579"/>
    <mergeCell ref="E542:F542"/>
    <mergeCell ref="E543:F543"/>
    <mergeCell ref="H545:I545"/>
    <mergeCell ref="E547:F547"/>
    <mergeCell ref="E548:F548"/>
    <mergeCell ref="E549:F549"/>
    <mergeCell ref="H551:I551"/>
    <mergeCell ref="E553:F553"/>
    <mergeCell ref="E554:F554"/>
    <mergeCell ref="E555:F555"/>
    <mergeCell ref="H557:I557"/>
    <mergeCell ref="E559:F559"/>
    <mergeCell ref="E560:F560"/>
    <mergeCell ref="E561:F561"/>
    <mergeCell ref="E518:F518"/>
    <mergeCell ref="E406:F406"/>
    <mergeCell ref="E407:F407"/>
    <mergeCell ref="E408:F408"/>
    <mergeCell ref="H410:I410"/>
    <mergeCell ref="E412:F412"/>
    <mergeCell ref="E413:F413"/>
    <mergeCell ref="E414:F414"/>
    <mergeCell ref="E415:F415"/>
    <mergeCell ref="E416:F416"/>
    <mergeCell ref="E417:F417"/>
    <mergeCell ref="E418:F418"/>
    <mergeCell ref="H420:I420"/>
    <mergeCell ref="E422:F422"/>
    <mergeCell ref="E423:F423"/>
    <mergeCell ref="H448:I448"/>
    <mergeCell ref="E450:F450"/>
    <mergeCell ref="E451:F451"/>
    <mergeCell ref="E356:F356"/>
    <mergeCell ref="E357:F357"/>
    <mergeCell ref="E382:F382"/>
    <mergeCell ref="E383:F383"/>
    <mergeCell ref="E384:F384"/>
    <mergeCell ref="E385:F385"/>
    <mergeCell ref="E386:F386"/>
    <mergeCell ref="E387:F387"/>
    <mergeCell ref="E388:F388"/>
    <mergeCell ref="H390:I390"/>
    <mergeCell ref="E392:F392"/>
    <mergeCell ref="E393:F393"/>
    <mergeCell ref="E394:F394"/>
    <mergeCell ref="E395:F395"/>
    <mergeCell ref="E403:F403"/>
    <mergeCell ref="E404:F404"/>
    <mergeCell ref="E405:F405"/>
    <mergeCell ref="E381:F381"/>
    <mergeCell ref="E302:F302"/>
    <mergeCell ref="E303:F303"/>
    <mergeCell ref="H305:I305"/>
    <mergeCell ref="E307:F307"/>
    <mergeCell ref="E308:F308"/>
    <mergeCell ref="E309:F309"/>
    <mergeCell ref="E310:F310"/>
    <mergeCell ref="H312:I312"/>
    <mergeCell ref="E314:F314"/>
    <mergeCell ref="E315:F315"/>
    <mergeCell ref="E316:F316"/>
    <mergeCell ref="E317:F317"/>
    <mergeCell ref="E318:F318"/>
    <mergeCell ref="A331:F331"/>
    <mergeCell ref="G331:I331"/>
    <mergeCell ref="A332:F332"/>
    <mergeCell ref="G332:I332"/>
    <mergeCell ref="H274:I274"/>
    <mergeCell ref="H275:I275"/>
    <mergeCell ref="H276:I276"/>
    <mergeCell ref="H277:I277"/>
    <mergeCell ref="H278:I278"/>
    <mergeCell ref="A279:F279"/>
    <mergeCell ref="G279:I279"/>
    <mergeCell ref="G280:I280"/>
    <mergeCell ref="G267:I267"/>
    <mergeCell ref="E296:F296"/>
    <mergeCell ref="H298:I298"/>
    <mergeCell ref="E300:F300"/>
    <mergeCell ref="E301:F301"/>
    <mergeCell ref="A286:F286"/>
    <mergeCell ref="G286:I286"/>
    <mergeCell ref="H288:I288"/>
    <mergeCell ref="E290:F290"/>
    <mergeCell ref="E291:F291"/>
    <mergeCell ref="E292:F292"/>
    <mergeCell ref="E293:F293"/>
    <mergeCell ref="E294:F294"/>
    <mergeCell ref="E295:F295"/>
    <mergeCell ref="G268:I268"/>
    <mergeCell ref="G269:I269"/>
    <mergeCell ref="G270:I270"/>
    <mergeCell ref="G271:I271"/>
    <mergeCell ref="G272:I272"/>
    <mergeCell ref="A273:F273"/>
    <mergeCell ref="G273:I273"/>
    <mergeCell ref="H239:I239"/>
    <mergeCell ref="H240:I240"/>
    <mergeCell ref="H241:I241"/>
    <mergeCell ref="A242:F242"/>
    <mergeCell ref="G242:I242"/>
    <mergeCell ref="G243:I243"/>
    <mergeCell ref="A247:F247"/>
    <mergeCell ref="A262:F262"/>
    <mergeCell ref="G262:I262"/>
    <mergeCell ref="E251:F251"/>
    <mergeCell ref="E252:F252"/>
    <mergeCell ref="A253:A254"/>
    <mergeCell ref="B253:B254"/>
    <mergeCell ref="C253:C254"/>
    <mergeCell ref="D253:D254"/>
    <mergeCell ref="E253:E254"/>
    <mergeCell ref="F253:G253"/>
    <mergeCell ref="H253:I253"/>
    <mergeCell ref="A226:F226"/>
    <mergeCell ref="G226:I226"/>
    <mergeCell ref="A227:F227"/>
    <mergeCell ref="G227:I227"/>
    <mergeCell ref="A228:F228"/>
    <mergeCell ref="G228:I228"/>
    <mergeCell ref="A229:F229"/>
    <mergeCell ref="G229:I229"/>
    <mergeCell ref="A230:F230"/>
    <mergeCell ref="G230:I230"/>
    <mergeCell ref="G231:I231"/>
    <mergeCell ref="G232:I232"/>
    <mergeCell ref="G233:I233"/>
    <mergeCell ref="A217:A218"/>
    <mergeCell ref="B217:B218"/>
    <mergeCell ref="C217:C218"/>
    <mergeCell ref="D217:D218"/>
    <mergeCell ref="E217:E218"/>
    <mergeCell ref="J109:J110"/>
    <mergeCell ref="A114:F114"/>
    <mergeCell ref="G114:I114"/>
    <mergeCell ref="A133:F133"/>
    <mergeCell ref="G133:I133"/>
    <mergeCell ref="H135:I135"/>
    <mergeCell ref="A144:F144"/>
    <mergeCell ref="G144:I144"/>
    <mergeCell ref="A145:F145"/>
    <mergeCell ref="G145:I145"/>
    <mergeCell ref="A146:F146"/>
    <mergeCell ref="G146:I146"/>
    <mergeCell ref="E137:F137"/>
    <mergeCell ref="E138:F138"/>
    <mergeCell ref="A139:A140"/>
    <mergeCell ref="B139:B140"/>
    <mergeCell ref="C139:C140"/>
    <mergeCell ref="D139:D140"/>
    <mergeCell ref="E139:E140"/>
    <mergeCell ref="F139:G139"/>
    <mergeCell ref="H139:I139"/>
    <mergeCell ref="J139:J140"/>
    <mergeCell ref="A142:F142"/>
    <mergeCell ref="G142:I142"/>
    <mergeCell ref="A143:F143"/>
    <mergeCell ref="G143:I143"/>
    <mergeCell ref="A120:F120"/>
    <mergeCell ref="G120:I120"/>
    <mergeCell ref="A121:F121"/>
    <mergeCell ref="G121:I121"/>
    <mergeCell ref="A122:F122"/>
    <mergeCell ref="G122:I122"/>
    <mergeCell ref="E44:F44"/>
    <mergeCell ref="E45:F45"/>
    <mergeCell ref="E46:F46"/>
    <mergeCell ref="E47:F47"/>
    <mergeCell ref="E48:F48"/>
    <mergeCell ref="E49:F49"/>
    <mergeCell ref="E54:F54"/>
    <mergeCell ref="E55:F55"/>
    <mergeCell ref="E56:F56"/>
    <mergeCell ref="E82:F82"/>
    <mergeCell ref="E83:F83"/>
    <mergeCell ref="E84:F84"/>
    <mergeCell ref="H86:I86"/>
    <mergeCell ref="E88:F88"/>
    <mergeCell ref="E89:F89"/>
    <mergeCell ref="A90:A91"/>
    <mergeCell ref="B90:B91"/>
    <mergeCell ref="C90:C91"/>
    <mergeCell ref="D90:D91"/>
    <mergeCell ref="E90:E91"/>
    <mergeCell ref="F90:G90"/>
    <mergeCell ref="H90:I90"/>
    <mergeCell ref="E63:F63"/>
    <mergeCell ref="E64:F64"/>
    <mergeCell ref="H66:I66"/>
    <mergeCell ref="E68:F68"/>
    <mergeCell ref="E69:F69"/>
    <mergeCell ref="E70:F70"/>
    <mergeCell ref="H72:I72"/>
    <mergeCell ref="E74:F74"/>
    <mergeCell ref="E75:F75"/>
    <mergeCell ref="E35:F35"/>
    <mergeCell ref="E36:F36"/>
    <mergeCell ref="E37:F37"/>
    <mergeCell ref="E38:F38"/>
    <mergeCell ref="E17:F17"/>
    <mergeCell ref="E18:F18"/>
    <mergeCell ref="E19:F19"/>
    <mergeCell ref="E20:F20"/>
    <mergeCell ref="H22:I22"/>
    <mergeCell ref="E24:F24"/>
    <mergeCell ref="E25:F25"/>
    <mergeCell ref="E26:F26"/>
    <mergeCell ref="H28:I28"/>
    <mergeCell ref="E30:F30"/>
    <mergeCell ref="H40:I40"/>
    <mergeCell ref="E42:F42"/>
    <mergeCell ref="E43:F43"/>
    <mergeCell ref="E31:F31"/>
    <mergeCell ref="E32:F32"/>
    <mergeCell ref="E33:F33"/>
    <mergeCell ref="E34:F34"/>
    <mergeCell ref="E1031:F1031"/>
    <mergeCell ref="E1032:F1032"/>
    <mergeCell ref="J1050:J1051"/>
    <mergeCell ref="A1057:F1057"/>
    <mergeCell ref="G1057:I1057"/>
    <mergeCell ref="F1058:I1058"/>
    <mergeCell ref="A1060:F1060"/>
    <mergeCell ref="G1060:I1060"/>
    <mergeCell ref="A1061:F1061"/>
    <mergeCell ref="G1061:I1061"/>
    <mergeCell ref="A1062:F1062"/>
    <mergeCell ref="G1062:I1062"/>
    <mergeCell ref="A1063:F1063"/>
    <mergeCell ref="G1063:I1063"/>
    <mergeCell ref="A1064:F1064"/>
    <mergeCell ref="G1064:I1064"/>
    <mergeCell ref="A1065:F1065"/>
    <mergeCell ref="G1065:I1065"/>
    <mergeCell ref="G1068:I1068"/>
    <mergeCell ref="G1069:I1069"/>
    <mergeCell ref="G1070:I1070"/>
    <mergeCell ref="G1071:I1071"/>
    <mergeCell ref="G1072:I1072"/>
    <mergeCell ref="G1073:I1073"/>
    <mergeCell ref="A1074:F1074"/>
    <mergeCell ref="E1044:F1044"/>
    <mergeCell ref="H1046:I1046"/>
    <mergeCell ref="E1048:F1048"/>
    <mergeCell ref="E1049:F1049"/>
    <mergeCell ref="A1050:A1051"/>
    <mergeCell ref="B1050:B1051"/>
    <mergeCell ref="C1050:C1051"/>
    <mergeCell ref="D1050:D1051"/>
    <mergeCell ref="E1050:E1051"/>
    <mergeCell ref="F1050:G1050"/>
    <mergeCell ref="H1050:I1050"/>
    <mergeCell ref="G1074:I1074"/>
    <mergeCell ref="A1066:F1066"/>
    <mergeCell ref="G1066:I1066"/>
    <mergeCell ref="J1003:J1004"/>
    <mergeCell ref="A1006:F1006"/>
    <mergeCell ref="G1006:I1006"/>
    <mergeCell ref="A1007:F1007"/>
    <mergeCell ref="G1007:I1007"/>
    <mergeCell ref="A1008:F1008"/>
    <mergeCell ref="G1008:I1008"/>
    <mergeCell ref="A1009:F1009"/>
    <mergeCell ref="G1009:I1009"/>
    <mergeCell ref="A1010:F1010"/>
    <mergeCell ref="G1010:I1010"/>
    <mergeCell ref="A1011:F1011"/>
    <mergeCell ref="G1011:I1011"/>
    <mergeCell ref="H1013:I1013"/>
    <mergeCell ref="E1015:F1015"/>
    <mergeCell ref="E1016:F1016"/>
    <mergeCell ref="A1017:A1018"/>
    <mergeCell ref="B1017:B1018"/>
    <mergeCell ref="C1017:C1018"/>
    <mergeCell ref="D1017:D1018"/>
    <mergeCell ref="E1017:E1018"/>
    <mergeCell ref="F1017:G1017"/>
    <mergeCell ref="H1017:I1017"/>
    <mergeCell ref="J1017:J1018"/>
    <mergeCell ref="A1003:A1004"/>
    <mergeCell ref="B1003:B1004"/>
    <mergeCell ref="C1003:C1004"/>
    <mergeCell ref="H1003:I1003"/>
    <mergeCell ref="D1003:D1004"/>
    <mergeCell ref="E1003:E1004"/>
    <mergeCell ref="F1003:G1003"/>
    <mergeCell ref="J975:J976"/>
    <mergeCell ref="A978:F978"/>
    <mergeCell ref="G978:I978"/>
    <mergeCell ref="A979:F979"/>
    <mergeCell ref="G979:I979"/>
    <mergeCell ref="A980:F980"/>
    <mergeCell ref="G980:I980"/>
    <mergeCell ref="A981:F981"/>
    <mergeCell ref="G981:I981"/>
    <mergeCell ref="A982:F982"/>
    <mergeCell ref="G982:I982"/>
    <mergeCell ref="A983:F983"/>
    <mergeCell ref="G983:I983"/>
    <mergeCell ref="H985:I985"/>
    <mergeCell ref="E987:F987"/>
    <mergeCell ref="E988:F988"/>
    <mergeCell ref="A989:A990"/>
    <mergeCell ref="B989:B990"/>
    <mergeCell ref="C989:C990"/>
    <mergeCell ref="D989:D990"/>
    <mergeCell ref="E989:E990"/>
    <mergeCell ref="F989:G989"/>
    <mergeCell ref="H989:I989"/>
    <mergeCell ref="J989:J990"/>
    <mergeCell ref="A975:A976"/>
    <mergeCell ref="B975:B976"/>
    <mergeCell ref="C975:C976"/>
    <mergeCell ref="D975:D976"/>
    <mergeCell ref="J961:J962"/>
    <mergeCell ref="A964:F964"/>
    <mergeCell ref="G964:I964"/>
    <mergeCell ref="A965:F965"/>
    <mergeCell ref="G965:I965"/>
    <mergeCell ref="H933:I933"/>
    <mergeCell ref="E935:F935"/>
    <mergeCell ref="E936:F936"/>
    <mergeCell ref="E937:F937"/>
    <mergeCell ref="E938:F938"/>
    <mergeCell ref="E939:F939"/>
    <mergeCell ref="E940:F940"/>
    <mergeCell ref="E941:F941"/>
    <mergeCell ref="E942:F942"/>
    <mergeCell ref="E943:F943"/>
    <mergeCell ref="E944:F944"/>
    <mergeCell ref="H946:I946"/>
    <mergeCell ref="E948:F948"/>
    <mergeCell ref="E949:F949"/>
    <mergeCell ref="E867:E868"/>
    <mergeCell ref="F867:G867"/>
    <mergeCell ref="H867:I867"/>
    <mergeCell ref="F872:I872"/>
    <mergeCell ref="A875:F875"/>
    <mergeCell ref="G875:I875"/>
    <mergeCell ref="J897:J898"/>
    <mergeCell ref="A903:F903"/>
    <mergeCell ref="G903:I903"/>
    <mergeCell ref="F904:I904"/>
    <mergeCell ref="A909:F909"/>
    <mergeCell ref="G909:I909"/>
    <mergeCell ref="A910:F910"/>
    <mergeCell ref="G910:I910"/>
    <mergeCell ref="A911:F911"/>
    <mergeCell ref="G911:I911"/>
    <mergeCell ref="A912:F912"/>
    <mergeCell ref="G912:I912"/>
    <mergeCell ref="A884:F884"/>
    <mergeCell ref="G884:I884"/>
    <mergeCell ref="H885:I885"/>
    <mergeCell ref="H886:I886"/>
    <mergeCell ref="A887:F887"/>
    <mergeCell ref="G887:I887"/>
    <mergeCell ref="G888:I888"/>
    <mergeCell ref="A891:F891"/>
    <mergeCell ref="G891:I891"/>
    <mergeCell ref="H893:I893"/>
    <mergeCell ref="E895:F895"/>
    <mergeCell ref="E896:F896"/>
    <mergeCell ref="A876:F876"/>
    <mergeCell ref="G876:I876"/>
    <mergeCell ref="J867:J868"/>
    <mergeCell ref="A871:F871"/>
    <mergeCell ref="G871:I871"/>
    <mergeCell ref="H837:I837"/>
    <mergeCell ref="E839:F839"/>
    <mergeCell ref="E840:F840"/>
    <mergeCell ref="E841:F841"/>
    <mergeCell ref="E842:F842"/>
    <mergeCell ref="E843:F843"/>
    <mergeCell ref="E844:F844"/>
    <mergeCell ref="E845:F845"/>
    <mergeCell ref="E846:F846"/>
    <mergeCell ref="E847:F847"/>
    <mergeCell ref="E848:F848"/>
    <mergeCell ref="H850:I850"/>
    <mergeCell ref="E852:F852"/>
    <mergeCell ref="E853:F853"/>
    <mergeCell ref="E854:F854"/>
    <mergeCell ref="E855:F855"/>
    <mergeCell ref="E856:F856"/>
    <mergeCell ref="E857:F857"/>
    <mergeCell ref="E858:F858"/>
    <mergeCell ref="E859:F859"/>
    <mergeCell ref="E860:F860"/>
    <mergeCell ref="E861:F861"/>
    <mergeCell ref="H863:I863"/>
    <mergeCell ref="E865:F865"/>
    <mergeCell ref="E866:F866"/>
    <mergeCell ref="A867:A868"/>
    <mergeCell ref="B867:B868"/>
    <mergeCell ref="C867:C868"/>
    <mergeCell ref="D867:D868"/>
    <mergeCell ref="E833:F833"/>
    <mergeCell ref="E834:F834"/>
    <mergeCell ref="E835:F835"/>
    <mergeCell ref="A805:F805"/>
    <mergeCell ref="G805:I805"/>
    <mergeCell ref="A806:F806"/>
    <mergeCell ref="G806:I806"/>
    <mergeCell ref="A807:F807"/>
    <mergeCell ref="G807:I807"/>
    <mergeCell ref="A808:F808"/>
    <mergeCell ref="G808:I808"/>
    <mergeCell ref="A809:F809"/>
    <mergeCell ref="G809:I809"/>
    <mergeCell ref="A810:F810"/>
    <mergeCell ref="G810:I810"/>
    <mergeCell ref="A811:F811"/>
    <mergeCell ref="G811:I811"/>
    <mergeCell ref="H813:I813"/>
    <mergeCell ref="E815:F815"/>
    <mergeCell ref="E816:F816"/>
    <mergeCell ref="H826:I826"/>
    <mergeCell ref="E828:F828"/>
    <mergeCell ref="E829:F829"/>
    <mergeCell ref="E830:F830"/>
    <mergeCell ref="E831:F831"/>
    <mergeCell ref="E832:F832"/>
    <mergeCell ref="E749:F749"/>
    <mergeCell ref="E750:F750"/>
    <mergeCell ref="E751:F751"/>
    <mergeCell ref="E752:F752"/>
    <mergeCell ref="E753:F753"/>
    <mergeCell ref="E754:F754"/>
    <mergeCell ref="E755:F755"/>
    <mergeCell ref="E756:F756"/>
    <mergeCell ref="E757:F757"/>
    <mergeCell ref="E758:F758"/>
    <mergeCell ref="E759:F759"/>
    <mergeCell ref="E760:F760"/>
    <mergeCell ref="E761:F761"/>
    <mergeCell ref="E762:F762"/>
    <mergeCell ref="E763:F763"/>
    <mergeCell ref="E764:F764"/>
    <mergeCell ref="E765:F765"/>
    <mergeCell ref="E766:F766"/>
    <mergeCell ref="E767:F767"/>
    <mergeCell ref="E768:F768"/>
    <mergeCell ref="E769:F769"/>
    <mergeCell ref="H735:I735"/>
    <mergeCell ref="E737:F737"/>
    <mergeCell ref="E738:F738"/>
    <mergeCell ref="E739:F739"/>
    <mergeCell ref="E740:F740"/>
    <mergeCell ref="E741:F741"/>
    <mergeCell ref="E742:F742"/>
    <mergeCell ref="E743:F743"/>
    <mergeCell ref="E744:F744"/>
    <mergeCell ref="H746:I746"/>
    <mergeCell ref="E748:F748"/>
    <mergeCell ref="E707:F707"/>
    <mergeCell ref="E708:F708"/>
    <mergeCell ref="E709:F709"/>
    <mergeCell ref="H711:I711"/>
    <mergeCell ref="E713:F713"/>
    <mergeCell ref="E714:F714"/>
    <mergeCell ref="E715:F715"/>
    <mergeCell ref="E716:F716"/>
    <mergeCell ref="E717:F717"/>
    <mergeCell ref="E718:F718"/>
    <mergeCell ref="E719:F719"/>
    <mergeCell ref="E720:F720"/>
    <mergeCell ref="E721:F721"/>
    <mergeCell ref="E722:F722"/>
    <mergeCell ref="H724:I724"/>
    <mergeCell ref="E726:F726"/>
    <mergeCell ref="E727:F727"/>
    <mergeCell ref="E730:F730"/>
    <mergeCell ref="E731:F731"/>
    <mergeCell ref="E732:F732"/>
    <mergeCell ref="E733:F733"/>
    <mergeCell ref="E704:F704"/>
    <mergeCell ref="E705:F705"/>
    <mergeCell ref="E706:F706"/>
    <mergeCell ref="A672:F672"/>
    <mergeCell ref="G672:I672"/>
    <mergeCell ref="A673:F673"/>
    <mergeCell ref="G673:I673"/>
    <mergeCell ref="A674:F674"/>
    <mergeCell ref="G674:I674"/>
    <mergeCell ref="A675:F675"/>
    <mergeCell ref="G675:I675"/>
    <mergeCell ref="A676:F676"/>
    <mergeCell ref="G676:I676"/>
    <mergeCell ref="G677:I677"/>
    <mergeCell ref="G678:I678"/>
    <mergeCell ref="G679:I679"/>
    <mergeCell ref="G680:I680"/>
    <mergeCell ref="G681:I681"/>
    <mergeCell ref="G682:I682"/>
    <mergeCell ref="A683:F683"/>
    <mergeCell ref="G683:I683"/>
    <mergeCell ref="J659:J660"/>
    <mergeCell ref="A666:F666"/>
    <mergeCell ref="G666:I666"/>
    <mergeCell ref="F667:I667"/>
    <mergeCell ref="A670:F670"/>
    <mergeCell ref="G670:I670"/>
    <mergeCell ref="A671:F671"/>
    <mergeCell ref="G671:I671"/>
    <mergeCell ref="J641:J642"/>
    <mergeCell ref="A644:F644"/>
    <mergeCell ref="G644:I644"/>
    <mergeCell ref="F645:I645"/>
    <mergeCell ref="A647:F647"/>
    <mergeCell ref="G647:I647"/>
    <mergeCell ref="A648:F648"/>
    <mergeCell ref="G648:I648"/>
    <mergeCell ref="A649:F649"/>
    <mergeCell ref="G649:I649"/>
    <mergeCell ref="A650:F650"/>
    <mergeCell ref="G650:I650"/>
    <mergeCell ref="A651:F651"/>
    <mergeCell ref="G651:I651"/>
    <mergeCell ref="A652:F652"/>
    <mergeCell ref="G652:I652"/>
    <mergeCell ref="A653:F653"/>
    <mergeCell ref="G653:I653"/>
    <mergeCell ref="A659:A660"/>
    <mergeCell ref="B659:B660"/>
    <mergeCell ref="C659:C660"/>
    <mergeCell ref="D659:D660"/>
    <mergeCell ref="E659:E660"/>
    <mergeCell ref="F659:G659"/>
    <mergeCell ref="J627:J628"/>
    <mergeCell ref="E589:F589"/>
    <mergeCell ref="E590:F590"/>
    <mergeCell ref="E591:F591"/>
    <mergeCell ref="H593:I593"/>
    <mergeCell ref="E595:F595"/>
    <mergeCell ref="E596:F596"/>
    <mergeCell ref="E597:F597"/>
    <mergeCell ref="H599:I599"/>
    <mergeCell ref="E601:F601"/>
    <mergeCell ref="E602:F602"/>
    <mergeCell ref="E603:F603"/>
    <mergeCell ref="H605:I605"/>
    <mergeCell ref="E607:F607"/>
    <mergeCell ref="E608:F608"/>
    <mergeCell ref="E609:F609"/>
    <mergeCell ref="H611:I611"/>
    <mergeCell ref="E613:F613"/>
    <mergeCell ref="E535:F535"/>
    <mergeCell ref="E536:F536"/>
    <mergeCell ref="H514:I514"/>
    <mergeCell ref="E516:F516"/>
    <mergeCell ref="E517:F517"/>
    <mergeCell ref="H617:I617"/>
    <mergeCell ref="E619:F619"/>
    <mergeCell ref="E620:F620"/>
    <mergeCell ref="E621:F621"/>
    <mergeCell ref="H623:I623"/>
    <mergeCell ref="E625:F625"/>
    <mergeCell ref="E626:F626"/>
    <mergeCell ref="A627:A628"/>
    <mergeCell ref="B627:B628"/>
    <mergeCell ref="C627:C628"/>
    <mergeCell ref="D627:D628"/>
    <mergeCell ref="E627:E628"/>
    <mergeCell ref="F627:G627"/>
    <mergeCell ref="H627:I627"/>
    <mergeCell ref="E537:F537"/>
    <mergeCell ref="H539:I539"/>
    <mergeCell ref="E541:F541"/>
    <mergeCell ref="H563:I563"/>
    <mergeCell ref="E565:F565"/>
    <mergeCell ref="E566:F566"/>
    <mergeCell ref="E567:F567"/>
    <mergeCell ref="H569:I569"/>
    <mergeCell ref="E571:F571"/>
    <mergeCell ref="E572:F572"/>
    <mergeCell ref="E573:F573"/>
    <mergeCell ref="H575:I575"/>
    <mergeCell ref="E577:F577"/>
    <mergeCell ref="E490:F490"/>
    <mergeCell ref="E491:F491"/>
    <mergeCell ref="E492:F492"/>
    <mergeCell ref="E519:F519"/>
    <mergeCell ref="E520:F520"/>
    <mergeCell ref="E521:F521"/>
    <mergeCell ref="E522:F522"/>
    <mergeCell ref="E523:F523"/>
    <mergeCell ref="E524:F524"/>
    <mergeCell ref="E525:F525"/>
    <mergeCell ref="H527:I527"/>
    <mergeCell ref="E529:F529"/>
    <mergeCell ref="E530:F530"/>
    <mergeCell ref="E531:F531"/>
    <mergeCell ref="E532:F532"/>
    <mergeCell ref="E533:F533"/>
    <mergeCell ref="E534:F534"/>
    <mergeCell ref="E511:F511"/>
    <mergeCell ref="E512:F512"/>
    <mergeCell ref="E444:F444"/>
    <mergeCell ref="E445:F445"/>
    <mergeCell ref="E446:F446"/>
    <mergeCell ref="E472:F472"/>
    <mergeCell ref="E473:F473"/>
    <mergeCell ref="E474:F474"/>
    <mergeCell ref="E475:F475"/>
    <mergeCell ref="E476:F476"/>
    <mergeCell ref="E477:F477"/>
    <mergeCell ref="E478:F478"/>
    <mergeCell ref="H480:I480"/>
    <mergeCell ref="E482:F482"/>
    <mergeCell ref="E483:F483"/>
    <mergeCell ref="E484:F484"/>
    <mergeCell ref="E485:F485"/>
    <mergeCell ref="H487:I487"/>
    <mergeCell ref="E489:F489"/>
    <mergeCell ref="E376:F376"/>
    <mergeCell ref="E377:F377"/>
    <mergeCell ref="H379:I379"/>
    <mergeCell ref="H494:I494"/>
    <mergeCell ref="E496:F496"/>
    <mergeCell ref="E497:F497"/>
    <mergeCell ref="E498:F498"/>
    <mergeCell ref="E499:F499"/>
    <mergeCell ref="H501:I501"/>
    <mergeCell ref="E503:F503"/>
    <mergeCell ref="E504:F504"/>
    <mergeCell ref="E505:F505"/>
    <mergeCell ref="E506:F506"/>
    <mergeCell ref="H508:I508"/>
    <mergeCell ref="E510:F510"/>
    <mergeCell ref="E467:F467"/>
    <mergeCell ref="H469:I469"/>
    <mergeCell ref="E471:F471"/>
    <mergeCell ref="E424:F424"/>
    <mergeCell ref="E425:F425"/>
    <mergeCell ref="H427:I427"/>
    <mergeCell ref="E429:F429"/>
    <mergeCell ref="E430:F430"/>
    <mergeCell ref="E431:F431"/>
    <mergeCell ref="E432:F432"/>
    <mergeCell ref="E433:F433"/>
    <mergeCell ref="E434:F434"/>
    <mergeCell ref="H436:I436"/>
    <mergeCell ref="E438:F438"/>
    <mergeCell ref="E439:F439"/>
    <mergeCell ref="E440:F440"/>
    <mergeCell ref="H442:I442"/>
    <mergeCell ref="A352:F352"/>
    <mergeCell ref="G352:I352"/>
    <mergeCell ref="H354:I354"/>
    <mergeCell ref="E452:F452"/>
    <mergeCell ref="H454:I454"/>
    <mergeCell ref="E456:F456"/>
    <mergeCell ref="E457:F457"/>
    <mergeCell ref="E458:F458"/>
    <mergeCell ref="H460:I460"/>
    <mergeCell ref="E462:F462"/>
    <mergeCell ref="E463:F463"/>
    <mergeCell ref="E464:F464"/>
    <mergeCell ref="E465:F465"/>
    <mergeCell ref="E466:F466"/>
    <mergeCell ref="E396:F396"/>
    <mergeCell ref="E397:F397"/>
    <mergeCell ref="E398:F398"/>
    <mergeCell ref="E399:F399"/>
    <mergeCell ref="H401:I401"/>
    <mergeCell ref="A364:F364"/>
    <mergeCell ref="G364:I364"/>
    <mergeCell ref="A365:F365"/>
    <mergeCell ref="G365:I365"/>
    <mergeCell ref="A366:F366"/>
    <mergeCell ref="G366:I366"/>
    <mergeCell ref="H368:I368"/>
    <mergeCell ref="E370:F370"/>
    <mergeCell ref="E371:F371"/>
    <mergeCell ref="E372:F372"/>
    <mergeCell ref="E373:F373"/>
    <mergeCell ref="E374:F374"/>
    <mergeCell ref="E375:F375"/>
    <mergeCell ref="C339:C340"/>
    <mergeCell ref="D339:D340"/>
    <mergeCell ref="E339:E340"/>
    <mergeCell ref="A358:A359"/>
    <mergeCell ref="B358:B359"/>
    <mergeCell ref="C358:C359"/>
    <mergeCell ref="D358:D359"/>
    <mergeCell ref="E358:E359"/>
    <mergeCell ref="F358:G358"/>
    <mergeCell ref="H358:I358"/>
    <mergeCell ref="J358:J359"/>
    <mergeCell ref="A361:F361"/>
    <mergeCell ref="G361:I361"/>
    <mergeCell ref="A362:F362"/>
    <mergeCell ref="G362:I362"/>
    <mergeCell ref="A363:F363"/>
    <mergeCell ref="G363:I363"/>
    <mergeCell ref="A343:F343"/>
    <mergeCell ref="G343:I343"/>
    <mergeCell ref="F344:I344"/>
    <mergeCell ref="A346:F346"/>
    <mergeCell ref="G346:I346"/>
    <mergeCell ref="A347:F347"/>
    <mergeCell ref="G347:I347"/>
    <mergeCell ref="A348:F348"/>
    <mergeCell ref="G348:I348"/>
    <mergeCell ref="A349:F349"/>
    <mergeCell ref="G349:I349"/>
    <mergeCell ref="A350:F350"/>
    <mergeCell ref="G350:I350"/>
    <mergeCell ref="A351:F351"/>
    <mergeCell ref="G351:I351"/>
    <mergeCell ref="A266:F266"/>
    <mergeCell ref="G266:I266"/>
    <mergeCell ref="G247:I247"/>
    <mergeCell ref="H249:I249"/>
    <mergeCell ref="F339:G339"/>
    <mergeCell ref="H339:I339"/>
    <mergeCell ref="J339:J340"/>
    <mergeCell ref="H320:I320"/>
    <mergeCell ref="A322:J322"/>
    <mergeCell ref="E323:F323"/>
    <mergeCell ref="E324:F324"/>
    <mergeCell ref="A325:A326"/>
    <mergeCell ref="B325:B326"/>
    <mergeCell ref="C325:C326"/>
    <mergeCell ref="D325:D326"/>
    <mergeCell ref="E325:E326"/>
    <mergeCell ref="F325:G325"/>
    <mergeCell ref="H325:I325"/>
    <mergeCell ref="J325:J326"/>
    <mergeCell ref="A328:F328"/>
    <mergeCell ref="G328:I328"/>
    <mergeCell ref="A329:F329"/>
    <mergeCell ref="G329:I329"/>
    <mergeCell ref="A330:F330"/>
    <mergeCell ref="G330:I330"/>
    <mergeCell ref="A333:F333"/>
    <mergeCell ref="G333:I333"/>
    <mergeCell ref="H335:I335"/>
    <mergeCell ref="E337:F337"/>
    <mergeCell ref="E338:F338"/>
    <mergeCell ref="A339:A340"/>
    <mergeCell ref="B339:B340"/>
    <mergeCell ref="G210:I210"/>
    <mergeCell ref="A211:F211"/>
    <mergeCell ref="G211:I211"/>
    <mergeCell ref="H213:I213"/>
    <mergeCell ref="J253:J254"/>
    <mergeCell ref="A256:F256"/>
    <mergeCell ref="G256:I256"/>
    <mergeCell ref="F257:I257"/>
    <mergeCell ref="A260:F260"/>
    <mergeCell ref="G260:I260"/>
    <mergeCell ref="A261:F261"/>
    <mergeCell ref="G261:I261"/>
    <mergeCell ref="A263:F263"/>
    <mergeCell ref="G263:I263"/>
    <mergeCell ref="A264:F264"/>
    <mergeCell ref="G264:I264"/>
    <mergeCell ref="A265:F265"/>
    <mergeCell ref="G265:I265"/>
    <mergeCell ref="E215:F215"/>
    <mergeCell ref="E216:F216"/>
    <mergeCell ref="A234:F234"/>
    <mergeCell ref="G234:I234"/>
    <mergeCell ref="G235:I235"/>
    <mergeCell ref="G236:I236"/>
    <mergeCell ref="G237:I237"/>
    <mergeCell ref="A238:F238"/>
    <mergeCell ref="G238:I238"/>
    <mergeCell ref="F221:I221"/>
    <mergeCell ref="A224:F224"/>
    <mergeCell ref="G224:I224"/>
    <mergeCell ref="A225:F225"/>
    <mergeCell ref="G225:I225"/>
    <mergeCell ref="H177:I177"/>
    <mergeCell ref="E179:F179"/>
    <mergeCell ref="E180:F180"/>
    <mergeCell ref="A181:A182"/>
    <mergeCell ref="B181:B182"/>
    <mergeCell ref="J181:J182"/>
    <mergeCell ref="A184:F184"/>
    <mergeCell ref="G184:I184"/>
    <mergeCell ref="A185:F185"/>
    <mergeCell ref="F217:G217"/>
    <mergeCell ref="H217:I217"/>
    <mergeCell ref="J217:J218"/>
    <mergeCell ref="A220:F220"/>
    <mergeCell ref="G220:I220"/>
    <mergeCell ref="A198:F198"/>
    <mergeCell ref="G198:I198"/>
    <mergeCell ref="F199:I199"/>
    <mergeCell ref="A202:F202"/>
    <mergeCell ref="G202:I202"/>
    <mergeCell ref="A203:F203"/>
    <mergeCell ref="G203:I203"/>
    <mergeCell ref="A204:F204"/>
    <mergeCell ref="G204:I204"/>
    <mergeCell ref="A205:F205"/>
    <mergeCell ref="G205:I205"/>
    <mergeCell ref="A206:F206"/>
    <mergeCell ref="G206:I206"/>
    <mergeCell ref="A207:F207"/>
    <mergeCell ref="G207:I207"/>
    <mergeCell ref="A208:F208"/>
    <mergeCell ref="G208:I208"/>
    <mergeCell ref="G209:I209"/>
    <mergeCell ref="J167:J168"/>
    <mergeCell ref="A153:A154"/>
    <mergeCell ref="B153:B154"/>
    <mergeCell ref="C153:C154"/>
    <mergeCell ref="J153:J154"/>
    <mergeCell ref="A156:F156"/>
    <mergeCell ref="G156:I156"/>
    <mergeCell ref="A157:F157"/>
    <mergeCell ref="G157:I157"/>
    <mergeCell ref="A158:F158"/>
    <mergeCell ref="G158:I158"/>
    <mergeCell ref="A159:F159"/>
    <mergeCell ref="G159:I159"/>
    <mergeCell ref="H191:I191"/>
    <mergeCell ref="E193:F193"/>
    <mergeCell ref="E194:F194"/>
    <mergeCell ref="A195:A196"/>
    <mergeCell ref="B195:B196"/>
    <mergeCell ref="C195:C196"/>
    <mergeCell ref="D195:D196"/>
    <mergeCell ref="E195:E196"/>
    <mergeCell ref="F195:G195"/>
    <mergeCell ref="H195:I195"/>
    <mergeCell ref="J195:J196"/>
    <mergeCell ref="A170:F170"/>
    <mergeCell ref="G170:I170"/>
    <mergeCell ref="A171:F171"/>
    <mergeCell ref="G171:I171"/>
    <mergeCell ref="A172:F172"/>
    <mergeCell ref="G172:I172"/>
    <mergeCell ref="A173:F173"/>
    <mergeCell ref="G173:I173"/>
    <mergeCell ref="A188:F188"/>
    <mergeCell ref="G188:I188"/>
    <mergeCell ref="A189:F189"/>
    <mergeCell ref="G189:I189"/>
    <mergeCell ref="D153:D154"/>
    <mergeCell ref="E153:E154"/>
    <mergeCell ref="F153:G153"/>
    <mergeCell ref="H153:I153"/>
    <mergeCell ref="G185:I185"/>
    <mergeCell ref="A186:F186"/>
    <mergeCell ref="G186:I186"/>
    <mergeCell ref="A187:F187"/>
    <mergeCell ref="G187:I187"/>
    <mergeCell ref="C181:C182"/>
    <mergeCell ref="D181:D182"/>
    <mergeCell ref="E181:E182"/>
    <mergeCell ref="F181:G181"/>
    <mergeCell ref="H181:I181"/>
    <mergeCell ref="H163:I163"/>
    <mergeCell ref="E165:F165"/>
    <mergeCell ref="E166:F166"/>
    <mergeCell ref="A167:A168"/>
    <mergeCell ref="B167:B168"/>
    <mergeCell ref="C167:C168"/>
    <mergeCell ref="D167:D168"/>
    <mergeCell ref="E167:E168"/>
    <mergeCell ref="F167:G167"/>
    <mergeCell ref="H167:I167"/>
    <mergeCell ref="A174:F174"/>
    <mergeCell ref="G174:I174"/>
    <mergeCell ref="A175:F175"/>
    <mergeCell ref="G175:I175"/>
    <mergeCell ref="A126:F126"/>
    <mergeCell ref="G126:I126"/>
    <mergeCell ref="H127:I127"/>
    <mergeCell ref="H128:I128"/>
    <mergeCell ref="A129:F129"/>
    <mergeCell ref="G129:I129"/>
    <mergeCell ref="G130:I130"/>
    <mergeCell ref="F115:I115"/>
    <mergeCell ref="A117:F117"/>
    <mergeCell ref="G117:I117"/>
    <mergeCell ref="A118:F118"/>
    <mergeCell ref="G118:I118"/>
    <mergeCell ref="A119:F119"/>
    <mergeCell ref="G119:I119"/>
    <mergeCell ref="A160:F160"/>
    <mergeCell ref="G160:I160"/>
    <mergeCell ref="A161:F161"/>
    <mergeCell ref="G161:I161"/>
    <mergeCell ref="A147:F147"/>
    <mergeCell ref="G147:I147"/>
    <mergeCell ref="H149:I149"/>
    <mergeCell ref="E151:F151"/>
    <mergeCell ref="E152:F152"/>
    <mergeCell ref="A101:F101"/>
    <mergeCell ref="G101:I101"/>
    <mergeCell ref="A102:F102"/>
    <mergeCell ref="G102:I102"/>
    <mergeCell ref="A103:F103"/>
    <mergeCell ref="G103:I103"/>
    <mergeCell ref="H105:I105"/>
    <mergeCell ref="E107:F107"/>
    <mergeCell ref="E108:F108"/>
    <mergeCell ref="A123:F123"/>
    <mergeCell ref="G123:I123"/>
    <mergeCell ref="G124:I124"/>
    <mergeCell ref="G125:I125"/>
    <mergeCell ref="A109:A110"/>
    <mergeCell ref="B109:B110"/>
    <mergeCell ref="C109:C110"/>
    <mergeCell ref="D109:D110"/>
    <mergeCell ref="E109:E110"/>
    <mergeCell ref="F109:G109"/>
    <mergeCell ref="H109:I109"/>
    <mergeCell ref="E12:F12"/>
    <mergeCell ref="H14:I14"/>
    <mergeCell ref="E16:F16"/>
    <mergeCell ref="C1:D1"/>
    <mergeCell ref="E1:F1"/>
    <mergeCell ref="G1:H1"/>
    <mergeCell ref="I1:J1"/>
    <mergeCell ref="C2:D2"/>
    <mergeCell ref="E2:F2"/>
    <mergeCell ref="G2:H2"/>
    <mergeCell ref="I2:J2"/>
    <mergeCell ref="A3:J3"/>
    <mergeCell ref="A4:J4"/>
    <mergeCell ref="E5:F5"/>
    <mergeCell ref="E6:F6"/>
    <mergeCell ref="E7:F7"/>
    <mergeCell ref="E8:F8"/>
    <mergeCell ref="E9:F9"/>
    <mergeCell ref="E10:F10"/>
    <mergeCell ref="E11:F11"/>
    <mergeCell ref="J90:J91"/>
    <mergeCell ref="A94:F94"/>
    <mergeCell ref="G94:I94"/>
    <mergeCell ref="F95:I95"/>
    <mergeCell ref="E57:F57"/>
    <mergeCell ref="E58:F58"/>
    <mergeCell ref="H60:I60"/>
    <mergeCell ref="E62:F62"/>
    <mergeCell ref="E76:F76"/>
    <mergeCell ref="E77:F77"/>
    <mergeCell ref="H79:I79"/>
    <mergeCell ref="E81:F81"/>
    <mergeCell ref="A99:F99"/>
    <mergeCell ref="G99:I99"/>
    <mergeCell ref="A100:F100"/>
    <mergeCell ref="G100:I100"/>
    <mergeCell ref="A97:F97"/>
    <mergeCell ref="G97:I97"/>
    <mergeCell ref="A98:F98"/>
    <mergeCell ref="G98:I98"/>
  </mergeCells>
  <pageMargins left="0.51181102362204722" right="0.51181102362204722" top="0.98425196850393704" bottom="0.98425196850393704" header="0.51181102362204722" footer="0.51181102362204722"/>
  <pageSetup paperSize="9" scale="49" orientation="portrait" r:id="rId1"/>
  <headerFooter>
    <oddHeader xml:space="preserve">&amp;L &amp;CCompanhia de Desenvolvimento dos Vales do São Francisco e do Parnaíba
</oddHeader>
    <oddFooter xml:space="preserve">&amp;L &amp;CCODEVASF -  6ªSR Juazeiro / BA
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5B456-6465-45B1-A0A5-6D39D5A85DAB}">
  <sheetPr>
    <pageSetUpPr fitToPage="1"/>
  </sheetPr>
  <dimension ref="A1:Q23"/>
  <sheetViews>
    <sheetView tabSelected="1" showOutlineSymbols="0" showWhiteSpace="0" view="pageBreakPreview" zoomScale="80" zoomScaleNormal="85" zoomScaleSheetLayoutView="80" workbookViewId="0">
      <selection activeCell="E4" sqref="E4"/>
    </sheetView>
  </sheetViews>
  <sheetFormatPr defaultRowHeight="14.25" x14ac:dyDescent="0.2"/>
  <cols>
    <col min="1" max="1" width="7.625" style="167" customWidth="1"/>
    <col min="2" max="2" width="37.375" style="167" customWidth="1"/>
    <col min="3" max="3" width="20" style="167" bestFit="1" customWidth="1"/>
    <col min="4" max="15" width="12.625" style="167" customWidth="1"/>
    <col min="16" max="30" width="12" style="167" bestFit="1" customWidth="1"/>
    <col min="31" max="16384" width="9" style="167"/>
  </cols>
  <sheetData>
    <row r="1" spans="1:17" s="125" customFormat="1" ht="15" x14ac:dyDescent="0.2">
      <c r="A1" s="176"/>
      <c r="B1" s="231"/>
      <c r="C1" s="349" t="s">
        <v>694</v>
      </c>
      <c r="D1" s="379"/>
      <c r="E1" s="379"/>
      <c r="F1" s="379"/>
      <c r="G1" s="379"/>
      <c r="H1" s="379"/>
      <c r="I1" s="350"/>
      <c r="J1" s="349" t="s">
        <v>0</v>
      </c>
      <c r="K1" s="350"/>
      <c r="L1" s="349" t="s">
        <v>1</v>
      </c>
      <c r="M1" s="350"/>
      <c r="N1" s="379" t="s">
        <v>2</v>
      </c>
      <c r="O1" s="350"/>
    </row>
    <row r="2" spans="1:17" s="125" customFormat="1" ht="48.75" customHeight="1" thickBot="1" x14ac:dyDescent="0.25">
      <c r="A2" s="327"/>
      <c r="B2" s="328"/>
      <c r="C2" s="382" t="s">
        <v>860</v>
      </c>
      <c r="D2" s="383"/>
      <c r="E2" s="384"/>
      <c r="F2" s="384"/>
      <c r="G2" s="384"/>
      <c r="H2" s="383"/>
      <c r="I2" s="385"/>
      <c r="J2" s="351" t="s">
        <v>857</v>
      </c>
      <c r="K2" s="352"/>
      <c r="L2" s="353">
        <v>0.23699999999999999</v>
      </c>
      <c r="M2" s="354"/>
      <c r="N2" s="351" t="s">
        <v>4</v>
      </c>
      <c r="O2" s="352"/>
    </row>
    <row r="3" spans="1:17" ht="15" customHeight="1" x14ac:dyDescent="0.25">
      <c r="A3" s="388" t="s">
        <v>859</v>
      </c>
      <c r="B3" s="389"/>
      <c r="C3" s="389"/>
      <c r="D3" s="389"/>
      <c r="E3" s="389"/>
      <c r="F3" s="389"/>
      <c r="G3" s="389"/>
      <c r="H3" s="389"/>
      <c r="I3" s="389"/>
      <c r="J3" s="389"/>
      <c r="K3" s="389"/>
      <c r="L3" s="389"/>
      <c r="M3" s="389"/>
      <c r="N3" s="389"/>
      <c r="O3" s="390"/>
    </row>
    <row r="4" spans="1:17" ht="15.75" thickBot="1" x14ac:dyDescent="0.25">
      <c r="A4" s="193" t="s">
        <v>5</v>
      </c>
      <c r="B4" s="194" t="s">
        <v>8</v>
      </c>
      <c r="C4" s="195" t="s">
        <v>839</v>
      </c>
      <c r="D4" s="195" t="s">
        <v>840</v>
      </c>
      <c r="E4" s="195" t="s">
        <v>841</v>
      </c>
      <c r="F4" s="195" t="s">
        <v>842</v>
      </c>
      <c r="G4" s="195" t="s">
        <v>843</v>
      </c>
      <c r="H4" s="195" t="s">
        <v>844</v>
      </c>
      <c r="I4" s="195" t="s">
        <v>845</v>
      </c>
      <c r="J4" s="195" t="s">
        <v>846</v>
      </c>
      <c r="K4" s="195" t="s">
        <v>847</v>
      </c>
      <c r="L4" s="195" t="s">
        <v>848</v>
      </c>
      <c r="M4" s="195" t="s">
        <v>849</v>
      </c>
      <c r="N4" s="195" t="s">
        <v>850</v>
      </c>
      <c r="O4" s="196" t="s">
        <v>851</v>
      </c>
    </row>
    <row r="5" spans="1:17" x14ac:dyDescent="0.2">
      <c r="A5" s="391"/>
      <c r="B5" s="393" t="str">
        <f>'CAPA EM CBUQ'!D5</f>
        <v>CAPA ASFÁLTICA EM CBUQ</v>
      </c>
      <c r="C5" s="197">
        <f>C7+C9+C11+C13+C15</f>
        <v>1</v>
      </c>
      <c r="D5" s="198">
        <f>D6/$C$6</f>
        <v>4.9938509165954825E-2</v>
      </c>
      <c r="E5" s="198">
        <f t="shared" ref="E5:O5" si="0">E6/$C$6</f>
        <v>9.8945815144999935E-2</v>
      </c>
      <c r="F5" s="198">
        <f t="shared" si="0"/>
        <v>0.10039501259609958</v>
      </c>
      <c r="G5" s="198">
        <f t="shared" si="0"/>
        <v>0.10039501259609958</v>
      </c>
      <c r="H5" s="198">
        <f t="shared" si="0"/>
        <v>0.10039501259609958</v>
      </c>
      <c r="I5" s="198">
        <f t="shared" si="0"/>
        <v>0.10000000000000003</v>
      </c>
      <c r="J5" s="198">
        <f t="shared" si="0"/>
        <v>0.10000000000000003</v>
      </c>
      <c r="K5" s="198">
        <f t="shared" si="0"/>
        <v>9.9604987403900461E-2</v>
      </c>
      <c r="L5" s="198">
        <f t="shared" si="0"/>
        <v>9.8612293382945582E-2</v>
      </c>
      <c r="M5" s="198">
        <f t="shared" si="0"/>
        <v>9.8612293382945582E-2</v>
      </c>
      <c r="N5" s="198">
        <f t="shared" si="0"/>
        <v>5.105418485500008E-2</v>
      </c>
      <c r="O5" s="199">
        <f t="shared" si="0"/>
        <v>2.0468788759549629E-3</v>
      </c>
      <c r="Q5" s="200">
        <f>SUM(D5:O5)</f>
        <v>1.0000000000000002</v>
      </c>
    </row>
    <row r="6" spans="1:17" ht="15" thickBot="1" x14ac:dyDescent="0.25">
      <c r="A6" s="392"/>
      <c r="B6" s="394"/>
      <c r="C6" s="201">
        <f>C8+C10+C12+C14+C16</f>
        <v>33153120</v>
      </c>
      <c r="D6" s="202">
        <f>D8+D10+D12+D14+D16</f>
        <v>1655617.3870000003</v>
      </c>
      <c r="E6" s="202">
        <f t="shared" ref="E6:O6" si="1">E8+E10+E12+E14+E16</f>
        <v>3280362.4830000005</v>
      </c>
      <c r="F6" s="202">
        <f t="shared" si="1"/>
        <v>3328407.9000000008</v>
      </c>
      <c r="G6" s="202">
        <f t="shared" si="1"/>
        <v>3328407.9000000008</v>
      </c>
      <c r="H6" s="202">
        <f t="shared" si="1"/>
        <v>3328407.9000000008</v>
      </c>
      <c r="I6" s="202">
        <f t="shared" si="1"/>
        <v>3315312.0000000009</v>
      </c>
      <c r="J6" s="202">
        <f t="shared" si="1"/>
        <v>3315312.0000000009</v>
      </c>
      <c r="K6" s="202">
        <f t="shared" si="1"/>
        <v>3302216.1000000006</v>
      </c>
      <c r="L6" s="202">
        <f t="shared" si="1"/>
        <v>3269305.1960000009</v>
      </c>
      <c r="M6" s="202">
        <f t="shared" si="1"/>
        <v>3269305.1960000009</v>
      </c>
      <c r="N6" s="202">
        <f t="shared" si="1"/>
        <v>1692605.5170000002</v>
      </c>
      <c r="O6" s="203">
        <f t="shared" si="1"/>
        <v>67860.421000000002</v>
      </c>
    </row>
    <row r="7" spans="1:17" x14ac:dyDescent="0.2">
      <c r="A7" s="395">
        <v>1</v>
      </c>
      <c r="B7" s="397" t="str">
        <f>'CAPA EM CBUQ'!D6</f>
        <v>PROJETO EXECUTIVO</v>
      </c>
      <c r="C7" s="204">
        <f>C8/$C$6</f>
        <v>7.9002519219910517E-3</v>
      </c>
      <c r="D7" s="205">
        <v>0.15</v>
      </c>
      <c r="E7" s="206">
        <v>0.15</v>
      </c>
      <c r="F7" s="206">
        <v>0.15</v>
      </c>
      <c r="G7" s="206">
        <v>0.15</v>
      </c>
      <c r="H7" s="206">
        <v>0.15</v>
      </c>
      <c r="I7" s="206">
        <v>0.1</v>
      </c>
      <c r="J7" s="206">
        <v>0.1</v>
      </c>
      <c r="K7" s="206">
        <v>0.05</v>
      </c>
      <c r="L7" s="206"/>
      <c r="M7" s="206"/>
      <c r="N7" s="206"/>
      <c r="O7" s="207"/>
      <c r="Q7" s="200">
        <f>SUM(D7:O7)</f>
        <v>1</v>
      </c>
    </row>
    <row r="8" spans="1:17" ht="15" thickBot="1" x14ac:dyDescent="0.25">
      <c r="A8" s="396"/>
      <c r="B8" s="398"/>
      <c r="C8" s="208">
        <f>'CAPA EM CBUQ'!I6</f>
        <v>261918</v>
      </c>
      <c r="D8" s="209">
        <f>$C8*D7</f>
        <v>39287.699999999997</v>
      </c>
      <c r="E8" s="209">
        <f t="shared" ref="E8:O8" si="2">$C8*E7</f>
        <v>39287.699999999997</v>
      </c>
      <c r="F8" s="209">
        <f t="shared" si="2"/>
        <v>39287.699999999997</v>
      </c>
      <c r="G8" s="209">
        <f t="shared" si="2"/>
        <v>39287.699999999997</v>
      </c>
      <c r="H8" s="209">
        <f t="shared" si="2"/>
        <v>39287.699999999997</v>
      </c>
      <c r="I8" s="209">
        <f t="shared" si="2"/>
        <v>26191.800000000003</v>
      </c>
      <c r="J8" s="209">
        <f t="shared" si="2"/>
        <v>26191.800000000003</v>
      </c>
      <c r="K8" s="209">
        <f t="shared" si="2"/>
        <v>13095.900000000001</v>
      </c>
      <c r="L8" s="209">
        <f t="shared" si="2"/>
        <v>0</v>
      </c>
      <c r="M8" s="209">
        <f t="shared" si="2"/>
        <v>0</v>
      </c>
      <c r="N8" s="209">
        <f t="shared" si="2"/>
        <v>0</v>
      </c>
      <c r="O8" s="210">
        <f t="shared" si="2"/>
        <v>0</v>
      </c>
    </row>
    <row r="9" spans="1:17" x14ac:dyDescent="0.2">
      <c r="A9" s="395">
        <v>2</v>
      </c>
      <c r="B9" s="397" t="str">
        <f>'CAPA EM CBUQ'!D9</f>
        <v>SERVIÇOS PRELIMINARES</v>
      </c>
      <c r="C9" s="204">
        <f>C10/$C$6</f>
        <v>1.1953628497106756E-2</v>
      </c>
      <c r="D9" s="205">
        <v>0.1</v>
      </c>
      <c r="E9" s="206">
        <v>0.1</v>
      </c>
      <c r="F9" s="206">
        <v>0.1</v>
      </c>
      <c r="G9" s="206">
        <v>0.1</v>
      </c>
      <c r="H9" s="206">
        <v>0.1</v>
      </c>
      <c r="I9" s="206">
        <v>0.1</v>
      </c>
      <c r="J9" s="206">
        <v>0.1</v>
      </c>
      <c r="K9" s="206">
        <v>0.1</v>
      </c>
      <c r="L9" s="206">
        <v>0.05</v>
      </c>
      <c r="M9" s="206">
        <v>0.05</v>
      </c>
      <c r="N9" s="206">
        <v>0.05</v>
      </c>
      <c r="O9" s="207">
        <v>0.05</v>
      </c>
      <c r="Q9" s="200">
        <f>SUM(D9:O9)</f>
        <v>1</v>
      </c>
    </row>
    <row r="10" spans="1:17" ht="15" thickBot="1" x14ac:dyDescent="0.25">
      <c r="A10" s="396"/>
      <c r="B10" s="398"/>
      <c r="C10" s="208">
        <f>'CAPA EM CBUQ'!I9</f>
        <v>396300.07999999996</v>
      </c>
      <c r="D10" s="209">
        <f>$C10*D9</f>
        <v>39630.008000000002</v>
      </c>
      <c r="E10" s="209">
        <f t="shared" ref="E10:O10" si="3">$C10*E9</f>
        <v>39630.008000000002</v>
      </c>
      <c r="F10" s="209">
        <f t="shared" si="3"/>
        <v>39630.008000000002</v>
      </c>
      <c r="G10" s="209">
        <f t="shared" si="3"/>
        <v>39630.008000000002</v>
      </c>
      <c r="H10" s="209">
        <f t="shared" si="3"/>
        <v>39630.008000000002</v>
      </c>
      <c r="I10" s="209">
        <f t="shared" si="3"/>
        <v>39630.008000000002</v>
      </c>
      <c r="J10" s="209">
        <f t="shared" si="3"/>
        <v>39630.008000000002</v>
      </c>
      <c r="K10" s="209">
        <f t="shared" si="3"/>
        <v>39630.008000000002</v>
      </c>
      <c r="L10" s="209">
        <f t="shared" si="3"/>
        <v>19815.004000000001</v>
      </c>
      <c r="M10" s="209">
        <f t="shared" si="3"/>
        <v>19815.004000000001</v>
      </c>
      <c r="N10" s="209">
        <f t="shared" si="3"/>
        <v>19815.004000000001</v>
      </c>
      <c r="O10" s="210">
        <f t="shared" si="3"/>
        <v>19815.004000000001</v>
      </c>
    </row>
    <row r="11" spans="1:17" x14ac:dyDescent="0.2">
      <c r="A11" s="395">
        <v>3</v>
      </c>
      <c r="B11" s="397" t="str">
        <f>'CAPA EM CBUQ'!D14</f>
        <v>PAVIMENTAÇÃO</v>
      </c>
      <c r="C11" s="204">
        <f>C12/$C$6</f>
        <v>0.95116217055890973</v>
      </c>
      <c r="D11" s="205">
        <v>0.05</v>
      </c>
      <c r="E11" s="206">
        <v>0.1</v>
      </c>
      <c r="F11" s="206">
        <v>0.1</v>
      </c>
      <c r="G11" s="206">
        <v>0.1</v>
      </c>
      <c r="H11" s="206">
        <v>0.1</v>
      </c>
      <c r="I11" s="206">
        <v>0.1</v>
      </c>
      <c r="J11" s="206">
        <v>0.1</v>
      </c>
      <c r="K11" s="206">
        <v>0.1</v>
      </c>
      <c r="L11" s="206">
        <v>0.1</v>
      </c>
      <c r="M11" s="206">
        <v>0.1</v>
      </c>
      <c r="N11" s="206">
        <v>0.05</v>
      </c>
      <c r="O11" s="207"/>
      <c r="Q11" s="200">
        <f>SUM(D11:O11)</f>
        <v>0.99999999999999989</v>
      </c>
    </row>
    <row r="12" spans="1:17" ht="15" thickBot="1" x14ac:dyDescent="0.25">
      <c r="A12" s="396"/>
      <c r="B12" s="398"/>
      <c r="C12" s="208">
        <f>'CAPA EM CBUQ'!I14</f>
        <v>31533993.580000002</v>
      </c>
      <c r="D12" s="209">
        <f>$C12*D11</f>
        <v>1576699.6790000002</v>
      </c>
      <c r="E12" s="209">
        <f t="shared" ref="E12:O12" si="4">$C12*E11</f>
        <v>3153399.3580000005</v>
      </c>
      <c r="F12" s="209">
        <f t="shared" si="4"/>
        <v>3153399.3580000005</v>
      </c>
      <c r="G12" s="209">
        <f t="shared" si="4"/>
        <v>3153399.3580000005</v>
      </c>
      <c r="H12" s="209">
        <f t="shared" si="4"/>
        <v>3153399.3580000005</v>
      </c>
      <c r="I12" s="209">
        <f t="shared" si="4"/>
        <v>3153399.3580000005</v>
      </c>
      <c r="J12" s="209">
        <f t="shared" si="4"/>
        <v>3153399.3580000005</v>
      </c>
      <c r="K12" s="209">
        <f t="shared" si="4"/>
        <v>3153399.3580000005</v>
      </c>
      <c r="L12" s="209">
        <f t="shared" si="4"/>
        <v>3153399.3580000005</v>
      </c>
      <c r="M12" s="209">
        <f t="shared" si="4"/>
        <v>3153399.3580000005</v>
      </c>
      <c r="N12" s="209">
        <f t="shared" si="4"/>
        <v>1576699.6790000002</v>
      </c>
      <c r="O12" s="210">
        <f t="shared" si="4"/>
        <v>0</v>
      </c>
    </row>
    <row r="13" spans="1:17" x14ac:dyDescent="0.2">
      <c r="A13" s="395">
        <v>4</v>
      </c>
      <c r="B13" s="397" t="str">
        <f>'CAPA EM CBUQ'!D30</f>
        <v>SINALIZAÇÃO HORIZONTAL E VERTICAL</v>
      </c>
      <c r="C13" s="204">
        <f>C14/$C$6</f>
        <v>1.8073774052034922E-2</v>
      </c>
      <c r="D13" s="205"/>
      <c r="E13" s="206">
        <v>0.05</v>
      </c>
      <c r="F13" s="206">
        <v>0.1</v>
      </c>
      <c r="G13" s="206">
        <v>0.1</v>
      </c>
      <c r="H13" s="206">
        <v>0.1</v>
      </c>
      <c r="I13" s="206">
        <v>0.1</v>
      </c>
      <c r="J13" s="206">
        <v>0.1</v>
      </c>
      <c r="K13" s="206">
        <v>0.1</v>
      </c>
      <c r="L13" s="206">
        <v>0.1</v>
      </c>
      <c r="M13" s="206">
        <v>0.1</v>
      </c>
      <c r="N13" s="206">
        <v>0.1</v>
      </c>
      <c r="O13" s="207">
        <v>0.05</v>
      </c>
      <c r="Q13" s="200">
        <f>SUM(D13:O13)</f>
        <v>0.99999999999999989</v>
      </c>
    </row>
    <row r="14" spans="1:17" ht="15" thickBot="1" x14ac:dyDescent="0.25">
      <c r="A14" s="396"/>
      <c r="B14" s="398"/>
      <c r="C14" s="208">
        <f>'CAPA EM CBUQ'!I30</f>
        <v>599202</v>
      </c>
      <c r="D14" s="209">
        <f>$C14*D13</f>
        <v>0</v>
      </c>
      <c r="E14" s="209">
        <f t="shared" ref="E14:O14" si="5">$C14*E13</f>
        <v>29960.100000000002</v>
      </c>
      <c r="F14" s="209">
        <f t="shared" si="5"/>
        <v>59920.200000000004</v>
      </c>
      <c r="G14" s="209">
        <f t="shared" si="5"/>
        <v>59920.200000000004</v>
      </c>
      <c r="H14" s="209">
        <f t="shared" si="5"/>
        <v>59920.200000000004</v>
      </c>
      <c r="I14" s="209">
        <f t="shared" si="5"/>
        <v>59920.200000000004</v>
      </c>
      <c r="J14" s="209">
        <f t="shared" si="5"/>
        <v>59920.200000000004</v>
      </c>
      <c r="K14" s="209">
        <f t="shared" si="5"/>
        <v>59920.200000000004</v>
      </c>
      <c r="L14" s="209">
        <f t="shared" si="5"/>
        <v>59920.200000000004</v>
      </c>
      <c r="M14" s="209">
        <f t="shared" si="5"/>
        <v>59920.200000000004</v>
      </c>
      <c r="N14" s="209">
        <f t="shared" si="5"/>
        <v>59920.200000000004</v>
      </c>
      <c r="O14" s="210">
        <f t="shared" si="5"/>
        <v>29960.100000000002</v>
      </c>
    </row>
    <row r="15" spans="1:17" x14ac:dyDescent="0.2">
      <c r="A15" s="395">
        <v>5</v>
      </c>
      <c r="B15" s="397" t="str">
        <f>'CAPA EM CBUQ'!D34</f>
        <v>SERVIÇOS COMPLEMENTARES</v>
      </c>
      <c r="C15" s="204">
        <f>C16/$C$6</f>
        <v>1.0910174969957578E-2</v>
      </c>
      <c r="D15" s="205"/>
      <c r="E15" s="206">
        <v>0.05</v>
      </c>
      <c r="F15" s="206">
        <v>0.1</v>
      </c>
      <c r="G15" s="206">
        <v>0.1</v>
      </c>
      <c r="H15" s="206">
        <v>0.1</v>
      </c>
      <c r="I15" s="206">
        <v>0.1</v>
      </c>
      <c r="J15" s="206">
        <v>0.1</v>
      </c>
      <c r="K15" s="206">
        <v>0.1</v>
      </c>
      <c r="L15" s="206">
        <v>0.1</v>
      </c>
      <c r="M15" s="206">
        <v>0.1</v>
      </c>
      <c r="N15" s="206">
        <v>0.1</v>
      </c>
      <c r="O15" s="207">
        <v>0.05</v>
      </c>
      <c r="Q15" s="200">
        <f>SUM(D15:O15)</f>
        <v>0.99999999999999989</v>
      </c>
    </row>
    <row r="16" spans="1:17" ht="15" thickBot="1" x14ac:dyDescent="0.25">
      <c r="A16" s="396"/>
      <c r="B16" s="398"/>
      <c r="C16" s="208">
        <f>'CAPA EM CBUQ'!I34</f>
        <v>361706.33999999997</v>
      </c>
      <c r="D16" s="209">
        <f>$C16*D15</f>
        <v>0</v>
      </c>
      <c r="E16" s="209">
        <f t="shared" ref="E16:O16" si="6">$C16*E15</f>
        <v>18085.316999999999</v>
      </c>
      <c r="F16" s="209">
        <f t="shared" si="6"/>
        <v>36170.633999999998</v>
      </c>
      <c r="G16" s="209">
        <f t="shared" si="6"/>
        <v>36170.633999999998</v>
      </c>
      <c r="H16" s="209">
        <f t="shared" si="6"/>
        <v>36170.633999999998</v>
      </c>
      <c r="I16" s="209">
        <f t="shared" si="6"/>
        <v>36170.633999999998</v>
      </c>
      <c r="J16" s="209">
        <f t="shared" si="6"/>
        <v>36170.633999999998</v>
      </c>
      <c r="K16" s="209">
        <f t="shared" si="6"/>
        <v>36170.633999999998</v>
      </c>
      <c r="L16" s="209">
        <f t="shared" si="6"/>
        <v>36170.633999999998</v>
      </c>
      <c r="M16" s="209">
        <f t="shared" si="6"/>
        <v>36170.633999999998</v>
      </c>
      <c r="N16" s="209">
        <f t="shared" si="6"/>
        <v>36170.633999999998</v>
      </c>
      <c r="O16" s="210">
        <f t="shared" si="6"/>
        <v>18085.316999999999</v>
      </c>
    </row>
    <row r="17" spans="1:17" x14ac:dyDescent="0.2">
      <c r="A17" s="386" t="s">
        <v>852</v>
      </c>
      <c r="B17" s="387"/>
      <c r="C17" s="214"/>
      <c r="D17" s="215">
        <f>D18/$C$6</f>
        <v>4.9938509165954825E-2</v>
      </c>
      <c r="E17" s="215">
        <f t="shared" ref="E17:O17" si="7">E18/$C$6</f>
        <v>9.8945815144999935E-2</v>
      </c>
      <c r="F17" s="215">
        <f t="shared" si="7"/>
        <v>0.10039501259609958</v>
      </c>
      <c r="G17" s="215">
        <f t="shared" si="7"/>
        <v>0.10039501259609958</v>
      </c>
      <c r="H17" s="215">
        <f t="shared" si="7"/>
        <v>0.10039501259609958</v>
      </c>
      <c r="I17" s="215">
        <f t="shared" si="7"/>
        <v>0.10000000000000003</v>
      </c>
      <c r="J17" s="215">
        <f t="shared" si="7"/>
        <v>0.10000000000000003</v>
      </c>
      <c r="K17" s="215">
        <f t="shared" si="7"/>
        <v>9.9604987403900461E-2</v>
      </c>
      <c r="L17" s="215">
        <f t="shared" si="7"/>
        <v>9.8612293382945582E-2</v>
      </c>
      <c r="M17" s="215">
        <f t="shared" si="7"/>
        <v>9.8612293382945582E-2</v>
      </c>
      <c r="N17" s="215">
        <f t="shared" si="7"/>
        <v>5.105418485500008E-2</v>
      </c>
      <c r="O17" s="216">
        <f t="shared" si="7"/>
        <v>2.0468788759549629E-3</v>
      </c>
      <c r="Q17" s="200">
        <f>SUM(D17:O17)</f>
        <v>1.0000000000000002</v>
      </c>
    </row>
    <row r="18" spans="1:17" x14ac:dyDescent="0.2">
      <c r="A18" s="380" t="s">
        <v>853</v>
      </c>
      <c r="B18" s="381"/>
      <c r="C18" s="217"/>
      <c r="D18" s="218">
        <f t="shared" ref="D18:O18" si="8">D6</f>
        <v>1655617.3870000003</v>
      </c>
      <c r="E18" s="218">
        <f t="shared" si="8"/>
        <v>3280362.4830000005</v>
      </c>
      <c r="F18" s="218">
        <f t="shared" si="8"/>
        <v>3328407.9000000008</v>
      </c>
      <c r="G18" s="218">
        <f t="shared" si="8"/>
        <v>3328407.9000000008</v>
      </c>
      <c r="H18" s="218">
        <f t="shared" si="8"/>
        <v>3328407.9000000008</v>
      </c>
      <c r="I18" s="218">
        <f t="shared" si="8"/>
        <v>3315312.0000000009</v>
      </c>
      <c r="J18" s="218">
        <f t="shared" si="8"/>
        <v>3315312.0000000009</v>
      </c>
      <c r="K18" s="218">
        <f t="shared" si="8"/>
        <v>3302216.1000000006</v>
      </c>
      <c r="L18" s="218">
        <f t="shared" si="8"/>
        <v>3269305.1960000009</v>
      </c>
      <c r="M18" s="218">
        <f t="shared" si="8"/>
        <v>3269305.1960000009</v>
      </c>
      <c r="N18" s="218">
        <f t="shared" si="8"/>
        <v>1692605.5170000002</v>
      </c>
      <c r="O18" s="219">
        <f t="shared" si="8"/>
        <v>67860.421000000002</v>
      </c>
    </row>
    <row r="19" spans="1:17" x14ac:dyDescent="0.2">
      <c r="A19" s="380" t="s">
        <v>854</v>
      </c>
      <c r="B19" s="381"/>
      <c r="C19" s="217"/>
      <c r="D19" s="211">
        <f>D20/$C$6</f>
        <v>4.9938509165954825E-2</v>
      </c>
      <c r="E19" s="211">
        <f t="shared" ref="E19:O19" si="9">E20/$C$6</f>
        <v>0.14888432431095477</v>
      </c>
      <c r="F19" s="211">
        <f t="shared" si="9"/>
        <v>0.24927933690705434</v>
      </c>
      <c r="G19" s="211">
        <f t="shared" si="9"/>
        <v>0.3496743495031539</v>
      </c>
      <c r="H19" s="211">
        <f t="shared" si="9"/>
        <v>0.45006936209925347</v>
      </c>
      <c r="I19" s="211">
        <f t="shared" si="9"/>
        <v>0.5500693620992535</v>
      </c>
      <c r="J19" s="211">
        <f t="shared" si="9"/>
        <v>0.65006936209925348</v>
      </c>
      <c r="K19" s="211">
        <f t="shared" si="9"/>
        <v>0.74967434950315404</v>
      </c>
      <c r="L19" s="211">
        <f t="shared" si="9"/>
        <v>0.84828664288609967</v>
      </c>
      <c r="M19" s="211">
        <f t="shared" si="9"/>
        <v>0.94689893626904531</v>
      </c>
      <c r="N19" s="211">
        <f t="shared" si="9"/>
        <v>0.99795312112404533</v>
      </c>
      <c r="O19" s="220">
        <f t="shared" si="9"/>
        <v>1.0000000000000004</v>
      </c>
    </row>
    <row r="20" spans="1:17" ht="15" thickBot="1" x14ac:dyDescent="0.25">
      <c r="A20" s="382" t="s">
        <v>855</v>
      </c>
      <c r="B20" s="383"/>
      <c r="C20" s="212"/>
      <c r="D20" s="213">
        <f>D18</f>
        <v>1655617.3870000003</v>
      </c>
      <c r="E20" s="213">
        <f t="shared" ref="E20:O20" si="10">D20+E18</f>
        <v>4935979.870000001</v>
      </c>
      <c r="F20" s="213">
        <f t="shared" si="10"/>
        <v>8264387.7700000014</v>
      </c>
      <c r="G20" s="213">
        <f t="shared" si="10"/>
        <v>11592795.670000002</v>
      </c>
      <c r="H20" s="213">
        <f t="shared" si="10"/>
        <v>14921203.570000002</v>
      </c>
      <c r="I20" s="213">
        <f t="shared" si="10"/>
        <v>18236515.570000004</v>
      </c>
      <c r="J20" s="213">
        <f t="shared" si="10"/>
        <v>21551827.570000004</v>
      </c>
      <c r="K20" s="213">
        <f t="shared" si="10"/>
        <v>24854043.670000006</v>
      </c>
      <c r="L20" s="213">
        <f t="shared" si="10"/>
        <v>28123348.866000008</v>
      </c>
      <c r="M20" s="213">
        <f t="shared" si="10"/>
        <v>31392654.06200001</v>
      </c>
      <c r="N20" s="213">
        <f t="shared" si="10"/>
        <v>33085259.579000011</v>
      </c>
      <c r="O20" s="221">
        <f t="shared" si="10"/>
        <v>33153120.000000011</v>
      </c>
    </row>
    <row r="21" spans="1:17" x14ac:dyDescent="0.2">
      <c r="A21" s="56"/>
      <c r="B21" s="56"/>
      <c r="C21" s="56"/>
      <c r="D21" s="56"/>
      <c r="E21" s="56"/>
      <c r="F21" s="56"/>
      <c r="G21" s="56"/>
    </row>
    <row r="23" spans="1:17" x14ac:dyDescent="0.2">
      <c r="D23" s="167">
        <v>1</v>
      </c>
      <c r="E23" s="167">
        <v>3</v>
      </c>
      <c r="F23" s="167">
        <v>3</v>
      </c>
      <c r="G23" s="167">
        <v>3</v>
      </c>
      <c r="H23" s="167">
        <v>3</v>
      </c>
      <c r="I23" s="167">
        <v>3</v>
      </c>
      <c r="J23" s="167">
        <v>3</v>
      </c>
      <c r="K23" s="167">
        <v>3</v>
      </c>
      <c r="L23" s="167">
        <v>3</v>
      </c>
      <c r="M23" s="167">
        <v>3</v>
      </c>
      <c r="N23" s="167">
        <v>2</v>
      </c>
      <c r="Q23" s="167">
        <f>SUM(D23:P23)</f>
        <v>30</v>
      </c>
    </row>
  </sheetData>
  <mergeCells count="25">
    <mergeCell ref="A19:B19"/>
    <mergeCell ref="A20:B20"/>
    <mergeCell ref="A3:O3"/>
    <mergeCell ref="A5:A6"/>
    <mergeCell ref="B5:B6"/>
    <mergeCell ref="A7:A8"/>
    <mergeCell ref="B7:B8"/>
    <mergeCell ref="A9:A10"/>
    <mergeCell ref="B9:B10"/>
    <mergeCell ref="A11:A12"/>
    <mergeCell ref="B11:B12"/>
    <mergeCell ref="A13:A14"/>
    <mergeCell ref="B13:B14"/>
    <mergeCell ref="A15:A16"/>
    <mergeCell ref="B15:B16"/>
    <mergeCell ref="N1:O1"/>
    <mergeCell ref="J2:K2"/>
    <mergeCell ref="L2:M2"/>
    <mergeCell ref="N2:O2"/>
    <mergeCell ref="A18:B18"/>
    <mergeCell ref="C1:I1"/>
    <mergeCell ref="C2:I2"/>
    <mergeCell ref="A17:B17"/>
    <mergeCell ref="J1:K1"/>
    <mergeCell ref="L1:M1"/>
  </mergeCells>
  <pageMargins left="0.51181102362204722" right="0.51181102362204722" top="0.98425196850393704" bottom="0.98425196850393704" header="0.51181102362204722" footer="0.51181102362204722"/>
  <pageSetup paperSize="9" scale="57" fitToHeight="0" orientation="landscape" r:id="rId1"/>
  <headerFooter>
    <oddHeader xml:space="preserve">&amp;L &amp;CCompanhia de Desenvolvimento dos Vales do São Francisco e do Parnaíba
</oddHeader>
    <oddFooter xml:space="preserve">&amp;L &amp;CCODEVASF -  6ªSR Juazeiro / BA
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I69"/>
  <sheetViews>
    <sheetView tabSelected="1" workbookViewId="0">
      <selection activeCell="E4" sqref="E4"/>
    </sheetView>
  </sheetViews>
  <sheetFormatPr defaultRowHeight="12.75" x14ac:dyDescent="0.2"/>
  <cols>
    <col min="1" max="1" width="9" style="38"/>
    <col min="2" max="2" width="30.125" style="38" customWidth="1"/>
    <col min="3" max="3" width="16.875" style="38" customWidth="1"/>
    <col min="4" max="4" width="8" style="38" customWidth="1"/>
    <col min="5" max="5" width="9.625" style="38" customWidth="1"/>
    <col min="6" max="6" width="9" style="38"/>
    <col min="7" max="7" width="4.375" style="38" customWidth="1"/>
    <col min="8" max="8" width="15.375" style="38" customWidth="1"/>
    <col min="9" max="13" width="9" style="38"/>
    <col min="14" max="14" width="2.75" style="38" customWidth="1"/>
    <col min="15" max="255" width="9" style="38"/>
    <col min="256" max="256" width="30.125" style="38" customWidth="1"/>
    <col min="257" max="257" width="16.875" style="38" customWidth="1"/>
    <col min="258" max="258" width="8" style="38" customWidth="1"/>
    <col min="259" max="259" width="9.625" style="38" customWidth="1"/>
    <col min="260" max="260" width="9" style="38"/>
    <col min="261" max="261" width="4.375" style="38" customWidth="1"/>
    <col min="262" max="262" width="15.375" style="38" customWidth="1"/>
    <col min="263" max="267" width="9" style="38"/>
    <col min="268" max="268" width="2.75" style="38" customWidth="1"/>
    <col min="269" max="270" width="0" style="38" hidden="1" customWidth="1"/>
    <col min="271" max="511" width="9" style="38"/>
    <col min="512" max="512" width="30.125" style="38" customWidth="1"/>
    <col min="513" max="513" width="16.875" style="38" customWidth="1"/>
    <col min="514" max="514" width="8" style="38" customWidth="1"/>
    <col min="515" max="515" width="9.625" style="38" customWidth="1"/>
    <col min="516" max="516" width="9" style="38"/>
    <col min="517" max="517" width="4.375" style="38" customWidth="1"/>
    <col min="518" max="518" width="15.375" style="38" customWidth="1"/>
    <col min="519" max="523" width="9" style="38"/>
    <col min="524" max="524" width="2.75" style="38" customWidth="1"/>
    <col min="525" max="526" width="0" style="38" hidden="1" customWidth="1"/>
    <col min="527" max="767" width="9" style="38"/>
    <col min="768" max="768" width="30.125" style="38" customWidth="1"/>
    <col min="769" max="769" width="16.875" style="38" customWidth="1"/>
    <col min="770" max="770" width="8" style="38" customWidth="1"/>
    <col min="771" max="771" width="9.625" style="38" customWidth="1"/>
    <col min="772" max="772" width="9" style="38"/>
    <col min="773" max="773" width="4.375" style="38" customWidth="1"/>
    <col min="774" max="774" width="15.375" style="38" customWidth="1"/>
    <col min="775" max="779" width="9" style="38"/>
    <col min="780" max="780" width="2.75" style="38" customWidth="1"/>
    <col min="781" max="782" width="0" style="38" hidden="1" customWidth="1"/>
    <col min="783" max="1023" width="9" style="38"/>
    <col min="1024" max="1024" width="30.125" style="38" customWidth="1"/>
    <col min="1025" max="1025" width="16.875" style="38" customWidth="1"/>
    <col min="1026" max="1026" width="8" style="38" customWidth="1"/>
    <col min="1027" max="1027" width="9.625" style="38" customWidth="1"/>
    <col min="1028" max="1028" width="9" style="38"/>
    <col min="1029" max="1029" width="4.375" style="38" customWidth="1"/>
    <col min="1030" max="1030" width="15.375" style="38" customWidth="1"/>
    <col min="1031" max="1035" width="9" style="38"/>
    <col min="1036" max="1036" width="2.75" style="38" customWidth="1"/>
    <col min="1037" max="1038" width="0" style="38" hidden="1" customWidth="1"/>
    <col min="1039" max="1279" width="9" style="38"/>
    <col min="1280" max="1280" width="30.125" style="38" customWidth="1"/>
    <col min="1281" max="1281" width="16.875" style="38" customWidth="1"/>
    <col min="1282" max="1282" width="8" style="38" customWidth="1"/>
    <col min="1283" max="1283" width="9.625" style="38" customWidth="1"/>
    <col min="1284" max="1284" width="9" style="38"/>
    <col min="1285" max="1285" width="4.375" style="38" customWidth="1"/>
    <col min="1286" max="1286" width="15.375" style="38" customWidth="1"/>
    <col min="1287" max="1291" width="9" style="38"/>
    <col min="1292" max="1292" width="2.75" style="38" customWidth="1"/>
    <col min="1293" max="1294" width="0" style="38" hidden="1" customWidth="1"/>
    <col min="1295" max="1535" width="9" style="38"/>
    <col min="1536" max="1536" width="30.125" style="38" customWidth="1"/>
    <col min="1537" max="1537" width="16.875" style="38" customWidth="1"/>
    <col min="1538" max="1538" width="8" style="38" customWidth="1"/>
    <col min="1539" max="1539" width="9.625" style="38" customWidth="1"/>
    <col min="1540" max="1540" width="9" style="38"/>
    <col min="1541" max="1541" width="4.375" style="38" customWidth="1"/>
    <col min="1542" max="1542" width="15.375" style="38" customWidth="1"/>
    <col min="1543" max="1547" width="9" style="38"/>
    <col min="1548" max="1548" width="2.75" style="38" customWidth="1"/>
    <col min="1549" max="1550" width="0" style="38" hidden="1" customWidth="1"/>
    <col min="1551" max="1791" width="9" style="38"/>
    <col min="1792" max="1792" width="30.125" style="38" customWidth="1"/>
    <col min="1793" max="1793" width="16.875" style="38" customWidth="1"/>
    <col min="1794" max="1794" width="8" style="38" customWidth="1"/>
    <col min="1795" max="1795" width="9.625" style="38" customWidth="1"/>
    <col min="1796" max="1796" width="9" style="38"/>
    <col min="1797" max="1797" width="4.375" style="38" customWidth="1"/>
    <col min="1798" max="1798" width="15.375" style="38" customWidth="1"/>
    <col min="1799" max="1803" width="9" style="38"/>
    <col min="1804" max="1804" width="2.75" style="38" customWidth="1"/>
    <col min="1805" max="1806" width="0" style="38" hidden="1" customWidth="1"/>
    <col min="1807" max="2047" width="9" style="38"/>
    <col min="2048" max="2048" width="30.125" style="38" customWidth="1"/>
    <col min="2049" max="2049" width="16.875" style="38" customWidth="1"/>
    <col min="2050" max="2050" width="8" style="38" customWidth="1"/>
    <col min="2051" max="2051" width="9.625" style="38" customWidth="1"/>
    <col min="2052" max="2052" width="9" style="38"/>
    <col min="2053" max="2053" width="4.375" style="38" customWidth="1"/>
    <col min="2054" max="2054" width="15.375" style="38" customWidth="1"/>
    <col min="2055" max="2059" width="9" style="38"/>
    <col min="2060" max="2060" width="2.75" style="38" customWidth="1"/>
    <col min="2061" max="2062" width="0" style="38" hidden="1" customWidth="1"/>
    <col min="2063" max="2303" width="9" style="38"/>
    <col min="2304" max="2304" width="30.125" style="38" customWidth="1"/>
    <col min="2305" max="2305" width="16.875" style="38" customWidth="1"/>
    <col min="2306" max="2306" width="8" style="38" customWidth="1"/>
    <col min="2307" max="2307" width="9.625" style="38" customWidth="1"/>
    <col min="2308" max="2308" width="9" style="38"/>
    <col min="2309" max="2309" width="4.375" style="38" customWidth="1"/>
    <col min="2310" max="2310" width="15.375" style="38" customWidth="1"/>
    <col min="2311" max="2315" width="9" style="38"/>
    <col min="2316" max="2316" width="2.75" style="38" customWidth="1"/>
    <col min="2317" max="2318" width="0" style="38" hidden="1" customWidth="1"/>
    <col min="2319" max="2559" width="9" style="38"/>
    <col min="2560" max="2560" width="30.125" style="38" customWidth="1"/>
    <col min="2561" max="2561" width="16.875" style="38" customWidth="1"/>
    <col min="2562" max="2562" width="8" style="38" customWidth="1"/>
    <col min="2563" max="2563" width="9.625" style="38" customWidth="1"/>
    <col min="2564" max="2564" width="9" style="38"/>
    <col min="2565" max="2565" width="4.375" style="38" customWidth="1"/>
    <col min="2566" max="2566" width="15.375" style="38" customWidth="1"/>
    <col min="2567" max="2571" width="9" style="38"/>
    <col min="2572" max="2572" width="2.75" style="38" customWidth="1"/>
    <col min="2573" max="2574" width="0" style="38" hidden="1" customWidth="1"/>
    <col min="2575" max="2815" width="9" style="38"/>
    <col min="2816" max="2816" width="30.125" style="38" customWidth="1"/>
    <col min="2817" max="2817" width="16.875" style="38" customWidth="1"/>
    <col min="2818" max="2818" width="8" style="38" customWidth="1"/>
    <col min="2819" max="2819" width="9.625" style="38" customWidth="1"/>
    <col min="2820" max="2820" width="9" style="38"/>
    <col min="2821" max="2821" width="4.375" style="38" customWidth="1"/>
    <col min="2822" max="2822" width="15.375" style="38" customWidth="1"/>
    <col min="2823" max="2827" width="9" style="38"/>
    <col min="2828" max="2828" width="2.75" style="38" customWidth="1"/>
    <col min="2829" max="2830" width="0" style="38" hidden="1" customWidth="1"/>
    <col min="2831" max="3071" width="9" style="38"/>
    <col min="3072" max="3072" width="30.125" style="38" customWidth="1"/>
    <col min="3073" max="3073" width="16.875" style="38" customWidth="1"/>
    <col min="3074" max="3074" width="8" style="38" customWidth="1"/>
    <col min="3075" max="3075" width="9.625" style="38" customWidth="1"/>
    <col min="3076" max="3076" width="9" style="38"/>
    <col min="3077" max="3077" width="4.375" style="38" customWidth="1"/>
    <col min="3078" max="3078" width="15.375" style="38" customWidth="1"/>
    <col min="3079" max="3083" width="9" style="38"/>
    <col min="3084" max="3084" width="2.75" style="38" customWidth="1"/>
    <col min="3085" max="3086" width="0" style="38" hidden="1" customWidth="1"/>
    <col min="3087" max="3327" width="9" style="38"/>
    <col min="3328" max="3328" width="30.125" style="38" customWidth="1"/>
    <col min="3329" max="3329" width="16.875" style="38" customWidth="1"/>
    <col min="3330" max="3330" width="8" style="38" customWidth="1"/>
    <col min="3331" max="3331" width="9.625" style="38" customWidth="1"/>
    <col min="3332" max="3332" width="9" style="38"/>
    <col min="3333" max="3333" width="4.375" style="38" customWidth="1"/>
    <col min="3334" max="3334" width="15.375" style="38" customWidth="1"/>
    <col min="3335" max="3339" width="9" style="38"/>
    <col min="3340" max="3340" width="2.75" style="38" customWidth="1"/>
    <col min="3341" max="3342" width="0" style="38" hidden="1" customWidth="1"/>
    <col min="3343" max="3583" width="9" style="38"/>
    <col min="3584" max="3584" width="30.125" style="38" customWidth="1"/>
    <col min="3585" max="3585" width="16.875" style="38" customWidth="1"/>
    <col min="3586" max="3586" width="8" style="38" customWidth="1"/>
    <col min="3587" max="3587" width="9.625" style="38" customWidth="1"/>
    <col min="3588" max="3588" width="9" style="38"/>
    <col min="3589" max="3589" width="4.375" style="38" customWidth="1"/>
    <col min="3590" max="3590" width="15.375" style="38" customWidth="1"/>
    <col min="3591" max="3595" width="9" style="38"/>
    <col min="3596" max="3596" width="2.75" style="38" customWidth="1"/>
    <col min="3597" max="3598" width="0" style="38" hidden="1" customWidth="1"/>
    <col min="3599" max="3839" width="9" style="38"/>
    <col min="3840" max="3840" width="30.125" style="38" customWidth="1"/>
    <col min="3841" max="3841" width="16.875" style="38" customWidth="1"/>
    <col min="3842" max="3842" width="8" style="38" customWidth="1"/>
    <col min="3843" max="3843" width="9.625" style="38" customWidth="1"/>
    <col min="3844" max="3844" width="9" style="38"/>
    <col min="3845" max="3845" width="4.375" style="38" customWidth="1"/>
    <col min="3846" max="3846" width="15.375" style="38" customWidth="1"/>
    <col min="3847" max="3851" width="9" style="38"/>
    <col min="3852" max="3852" width="2.75" style="38" customWidth="1"/>
    <col min="3853" max="3854" width="0" style="38" hidden="1" customWidth="1"/>
    <col min="3855" max="4095" width="9" style="38"/>
    <col min="4096" max="4096" width="30.125" style="38" customWidth="1"/>
    <col min="4097" max="4097" width="16.875" style="38" customWidth="1"/>
    <col min="4098" max="4098" width="8" style="38" customWidth="1"/>
    <col min="4099" max="4099" width="9.625" style="38" customWidth="1"/>
    <col min="4100" max="4100" width="9" style="38"/>
    <col min="4101" max="4101" width="4.375" style="38" customWidth="1"/>
    <col min="4102" max="4102" width="15.375" style="38" customWidth="1"/>
    <col min="4103" max="4107" width="9" style="38"/>
    <col min="4108" max="4108" width="2.75" style="38" customWidth="1"/>
    <col min="4109" max="4110" width="0" style="38" hidden="1" customWidth="1"/>
    <col min="4111" max="4351" width="9" style="38"/>
    <col min="4352" max="4352" width="30.125" style="38" customWidth="1"/>
    <col min="4353" max="4353" width="16.875" style="38" customWidth="1"/>
    <col min="4354" max="4354" width="8" style="38" customWidth="1"/>
    <col min="4355" max="4355" width="9.625" style="38" customWidth="1"/>
    <col min="4356" max="4356" width="9" style="38"/>
    <col min="4357" max="4357" width="4.375" style="38" customWidth="1"/>
    <col min="4358" max="4358" width="15.375" style="38" customWidth="1"/>
    <col min="4359" max="4363" width="9" style="38"/>
    <col min="4364" max="4364" width="2.75" style="38" customWidth="1"/>
    <col min="4365" max="4366" width="0" style="38" hidden="1" customWidth="1"/>
    <col min="4367" max="4607" width="9" style="38"/>
    <col min="4608" max="4608" width="30.125" style="38" customWidth="1"/>
    <col min="4609" max="4609" width="16.875" style="38" customWidth="1"/>
    <col min="4610" max="4610" width="8" style="38" customWidth="1"/>
    <col min="4611" max="4611" width="9.625" style="38" customWidth="1"/>
    <col min="4612" max="4612" width="9" style="38"/>
    <col min="4613" max="4613" width="4.375" style="38" customWidth="1"/>
    <col min="4614" max="4614" width="15.375" style="38" customWidth="1"/>
    <col min="4615" max="4619" width="9" style="38"/>
    <col min="4620" max="4620" width="2.75" style="38" customWidth="1"/>
    <col min="4621" max="4622" width="0" style="38" hidden="1" customWidth="1"/>
    <col min="4623" max="4863" width="9" style="38"/>
    <col min="4864" max="4864" width="30.125" style="38" customWidth="1"/>
    <col min="4865" max="4865" width="16.875" style="38" customWidth="1"/>
    <col min="4866" max="4866" width="8" style="38" customWidth="1"/>
    <col min="4867" max="4867" width="9.625" style="38" customWidth="1"/>
    <col min="4868" max="4868" width="9" style="38"/>
    <col min="4869" max="4869" width="4.375" style="38" customWidth="1"/>
    <col min="4870" max="4870" width="15.375" style="38" customWidth="1"/>
    <col min="4871" max="4875" width="9" style="38"/>
    <col min="4876" max="4876" width="2.75" style="38" customWidth="1"/>
    <col min="4877" max="4878" width="0" style="38" hidden="1" customWidth="1"/>
    <col min="4879" max="5119" width="9" style="38"/>
    <col min="5120" max="5120" width="30.125" style="38" customWidth="1"/>
    <col min="5121" max="5121" width="16.875" style="38" customWidth="1"/>
    <col min="5122" max="5122" width="8" style="38" customWidth="1"/>
    <col min="5123" max="5123" width="9.625" style="38" customWidth="1"/>
    <col min="5124" max="5124" width="9" style="38"/>
    <col min="5125" max="5125" width="4.375" style="38" customWidth="1"/>
    <col min="5126" max="5126" width="15.375" style="38" customWidth="1"/>
    <col min="5127" max="5131" width="9" style="38"/>
    <col min="5132" max="5132" width="2.75" style="38" customWidth="1"/>
    <col min="5133" max="5134" width="0" style="38" hidden="1" customWidth="1"/>
    <col min="5135" max="5375" width="9" style="38"/>
    <col min="5376" max="5376" width="30.125" style="38" customWidth="1"/>
    <col min="5377" max="5377" width="16.875" style="38" customWidth="1"/>
    <col min="5378" max="5378" width="8" style="38" customWidth="1"/>
    <col min="5379" max="5379" width="9.625" style="38" customWidth="1"/>
    <col min="5380" max="5380" width="9" style="38"/>
    <col min="5381" max="5381" width="4.375" style="38" customWidth="1"/>
    <col min="5382" max="5382" width="15.375" style="38" customWidth="1"/>
    <col min="5383" max="5387" width="9" style="38"/>
    <col min="5388" max="5388" width="2.75" style="38" customWidth="1"/>
    <col min="5389" max="5390" width="0" style="38" hidden="1" customWidth="1"/>
    <col min="5391" max="5631" width="9" style="38"/>
    <col min="5632" max="5632" width="30.125" style="38" customWidth="1"/>
    <col min="5633" max="5633" width="16.875" style="38" customWidth="1"/>
    <col min="5634" max="5634" width="8" style="38" customWidth="1"/>
    <col min="5635" max="5635" width="9.625" style="38" customWidth="1"/>
    <col min="5636" max="5636" width="9" style="38"/>
    <col min="5637" max="5637" width="4.375" style="38" customWidth="1"/>
    <col min="5638" max="5638" width="15.375" style="38" customWidth="1"/>
    <col min="5639" max="5643" width="9" style="38"/>
    <col min="5644" max="5644" width="2.75" style="38" customWidth="1"/>
    <col min="5645" max="5646" width="0" style="38" hidden="1" customWidth="1"/>
    <col min="5647" max="5887" width="9" style="38"/>
    <col min="5888" max="5888" width="30.125" style="38" customWidth="1"/>
    <col min="5889" max="5889" width="16.875" style="38" customWidth="1"/>
    <col min="5890" max="5890" width="8" style="38" customWidth="1"/>
    <col min="5891" max="5891" width="9.625" style="38" customWidth="1"/>
    <col min="5892" max="5892" width="9" style="38"/>
    <col min="5893" max="5893" width="4.375" style="38" customWidth="1"/>
    <col min="5894" max="5894" width="15.375" style="38" customWidth="1"/>
    <col min="5895" max="5899" width="9" style="38"/>
    <col min="5900" max="5900" width="2.75" style="38" customWidth="1"/>
    <col min="5901" max="5902" width="0" style="38" hidden="1" customWidth="1"/>
    <col min="5903" max="6143" width="9" style="38"/>
    <col min="6144" max="6144" width="30.125" style="38" customWidth="1"/>
    <col min="6145" max="6145" width="16.875" style="38" customWidth="1"/>
    <col min="6146" max="6146" width="8" style="38" customWidth="1"/>
    <col min="6147" max="6147" width="9.625" style="38" customWidth="1"/>
    <col min="6148" max="6148" width="9" style="38"/>
    <col min="6149" max="6149" width="4.375" style="38" customWidth="1"/>
    <col min="6150" max="6150" width="15.375" style="38" customWidth="1"/>
    <col min="6151" max="6155" width="9" style="38"/>
    <col min="6156" max="6156" width="2.75" style="38" customWidth="1"/>
    <col min="6157" max="6158" width="0" style="38" hidden="1" customWidth="1"/>
    <col min="6159" max="6399" width="9" style="38"/>
    <col min="6400" max="6400" width="30.125" style="38" customWidth="1"/>
    <col min="6401" max="6401" width="16.875" style="38" customWidth="1"/>
    <col min="6402" max="6402" width="8" style="38" customWidth="1"/>
    <col min="6403" max="6403" width="9.625" style="38" customWidth="1"/>
    <col min="6404" max="6404" width="9" style="38"/>
    <col min="6405" max="6405" width="4.375" style="38" customWidth="1"/>
    <col min="6406" max="6406" width="15.375" style="38" customWidth="1"/>
    <col min="6407" max="6411" width="9" style="38"/>
    <col min="6412" max="6412" width="2.75" style="38" customWidth="1"/>
    <col min="6413" max="6414" width="0" style="38" hidden="1" customWidth="1"/>
    <col min="6415" max="6655" width="9" style="38"/>
    <col min="6656" max="6656" width="30.125" style="38" customWidth="1"/>
    <col min="6657" max="6657" width="16.875" style="38" customWidth="1"/>
    <col min="6658" max="6658" width="8" style="38" customWidth="1"/>
    <col min="6659" max="6659" width="9.625" style="38" customWidth="1"/>
    <col min="6660" max="6660" width="9" style="38"/>
    <col min="6661" max="6661" width="4.375" style="38" customWidth="1"/>
    <col min="6662" max="6662" width="15.375" style="38" customWidth="1"/>
    <col min="6663" max="6667" width="9" style="38"/>
    <col min="6668" max="6668" width="2.75" style="38" customWidth="1"/>
    <col min="6669" max="6670" width="0" style="38" hidden="1" customWidth="1"/>
    <col min="6671" max="6911" width="9" style="38"/>
    <col min="6912" max="6912" width="30.125" style="38" customWidth="1"/>
    <col min="6913" max="6913" width="16.875" style="38" customWidth="1"/>
    <col min="6914" max="6914" width="8" style="38" customWidth="1"/>
    <col min="6915" max="6915" width="9.625" style="38" customWidth="1"/>
    <col min="6916" max="6916" width="9" style="38"/>
    <col min="6917" max="6917" width="4.375" style="38" customWidth="1"/>
    <col min="6918" max="6918" width="15.375" style="38" customWidth="1"/>
    <col min="6919" max="6923" width="9" style="38"/>
    <col min="6924" max="6924" width="2.75" style="38" customWidth="1"/>
    <col min="6925" max="6926" width="0" style="38" hidden="1" customWidth="1"/>
    <col min="6927" max="7167" width="9" style="38"/>
    <col min="7168" max="7168" width="30.125" style="38" customWidth="1"/>
    <col min="7169" max="7169" width="16.875" style="38" customWidth="1"/>
    <col min="7170" max="7170" width="8" style="38" customWidth="1"/>
    <col min="7171" max="7171" width="9.625" style="38" customWidth="1"/>
    <col min="7172" max="7172" width="9" style="38"/>
    <col min="7173" max="7173" width="4.375" style="38" customWidth="1"/>
    <col min="7174" max="7174" width="15.375" style="38" customWidth="1"/>
    <col min="7175" max="7179" width="9" style="38"/>
    <col min="7180" max="7180" width="2.75" style="38" customWidth="1"/>
    <col min="7181" max="7182" width="0" style="38" hidden="1" customWidth="1"/>
    <col min="7183" max="7423" width="9" style="38"/>
    <col min="7424" max="7424" width="30.125" style="38" customWidth="1"/>
    <col min="7425" max="7425" width="16.875" style="38" customWidth="1"/>
    <col min="7426" max="7426" width="8" style="38" customWidth="1"/>
    <col min="7427" max="7427" width="9.625" style="38" customWidth="1"/>
    <col min="7428" max="7428" width="9" style="38"/>
    <col min="7429" max="7429" width="4.375" style="38" customWidth="1"/>
    <col min="7430" max="7430" width="15.375" style="38" customWidth="1"/>
    <col min="7431" max="7435" width="9" style="38"/>
    <col min="7436" max="7436" width="2.75" style="38" customWidth="1"/>
    <col min="7437" max="7438" width="0" style="38" hidden="1" customWidth="1"/>
    <col min="7439" max="7679" width="9" style="38"/>
    <col min="7680" max="7680" width="30.125" style="38" customWidth="1"/>
    <col min="7681" max="7681" width="16.875" style="38" customWidth="1"/>
    <col min="7682" max="7682" width="8" style="38" customWidth="1"/>
    <col min="7683" max="7683" width="9.625" style="38" customWidth="1"/>
    <col min="7684" max="7684" width="9" style="38"/>
    <col min="7685" max="7685" width="4.375" style="38" customWidth="1"/>
    <col min="7686" max="7686" width="15.375" style="38" customWidth="1"/>
    <col min="7687" max="7691" width="9" style="38"/>
    <col min="7692" max="7692" width="2.75" style="38" customWidth="1"/>
    <col min="7693" max="7694" width="0" style="38" hidden="1" customWidth="1"/>
    <col min="7695" max="7935" width="9" style="38"/>
    <col min="7936" max="7936" width="30.125" style="38" customWidth="1"/>
    <col min="7937" max="7937" width="16.875" style="38" customWidth="1"/>
    <col min="7938" max="7938" width="8" style="38" customWidth="1"/>
    <col min="7939" max="7939" width="9.625" style="38" customWidth="1"/>
    <col min="7940" max="7940" width="9" style="38"/>
    <col min="7941" max="7941" width="4.375" style="38" customWidth="1"/>
    <col min="7942" max="7942" width="15.375" style="38" customWidth="1"/>
    <col min="7943" max="7947" width="9" style="38"/>
    <col min="7948" max="7948" width="2.75" style="38" customWidth="1"/>
    <col min="7949" max="7950" width="0" style="38" hidden="1" customWidth="1"/>
    <col min="7951" max="8191" width="9" style="38"/>
    <col min="8192" max="8192" width="30.125" style="38" customWidth="1"/>
    <col min="8193" max="8193" width="16.875" style="38" customWidth="1"/>
    <col min="8194" max="8194" width="8" style="38" customWidth="1"/>
    <col min="8195" max="8195" width="9.625" style="38" customWidth="1"/>
    <col min="8196" max="8196" width="9" style="38"/>
    <col min="8197" max="8197" width="4.375" style="38" customWidth="1"/>
    <col min="8198" max="8198" width="15.375" style="38" customWidth="1"/>
    <col min="8199" max="8203" width="9" style="38"/>
    <col min="8204" max="8204" width="2.75" style="38" customWidth="1"/>
    <col min="8205" max="8206" width="0" style="38" hidden="1" customWidth="1"/>
    <col min="8207" max="8447" width="9" style="38"/>
    <col min="8448" max="8448" width="30.125" style="38" customWidth="1"/>
    <col min="8449" max="8449" width="16.875" style="38" customWidth="1"/>
    <col min="8450" max="8450" width="8" style="38" customWidth="1"/>
    <col min="8451" max="8451" width="9.625" style="38" customWidth="1"/>
    <col min="8452" max="8452" width="9" style="38"/>
    <col min="8453" max="8453" width="4.375" style="38" customWidth="1"/>
    <col min="8454" max="8454" width="15.375" style="38" customWidth="1"/>
    <col min="8455" max="8459" width="9" style="38"/>
    <col min="8460" max="8460" width="2.75" style="38" customWidth="1"/>
    <col min="8461" max="8462" width="0" style="38" hidden="1" customWidth="1"/>
    <col min="8463" max="8703" width="9" style="38"/>
    <col min="8704" max="8704" width="30.125" style="38" customWidth="1"/>
    <col min="8705" max="8705" width="16.875" style="38" customWidth="1"/>
    <col min="8706" max="8706" width="8" style="38" customWidth="1"/>
    <col min="8707" max="8707" width="9.625" style="38" customWidth="1"/>
    <col min="8708" max="8708" width="9" style="38"/>
    <col min="8709" max="8709" width="4.375" style="38" customWidth="1"/>
    <col min="8710" max="8710" width="15.375" style="38" customWidth="1"/>
    <col min="8711" max="8715" width="9" style="38"/>
    <col min="8716" max="8716" width="2.75" style="38" customWidth="1"/>
    <col min="8717" max="8718" width="0" style="38" hidden="1" customWidth="1"/>
    <col min="8719" max="8959" width="9" style="38"/>
    <col min="8960" max="8960" width="30.125" style="38" customWidth="1"/>
    <col min="8961" max="8961" width="16.875" style="38" customWidth="1"/>
    <col min="8962" max="8962" width="8" style="38" customWidth="1"/>
    <col min="8963" max="8963" width="9.625" style="38" customWidth="1"/>
    <col min="8964" max="8964" width="9" style="38"/>
    <col min="8965" max="8965" width="4.375" style="38" customWidth="1"/>
    <col min="8966" max="8966" width="15.375" style="38" customWidth="1"/>
    <col min="8967" max="8971" width="9" style="38"/>
    <col min="8972" max="8972" width="2.75" style="38" customWidth="1"/>
    <col min="8973" max="8974" width="0" style="38" hidden="1" customWidth="1"/>
    <col min="8975" max="9215" width="9" style="38"/>
    <col min="9216" max="9216" width="30.125" style="38" customWidth="1"/>
    <col min="9217" max="9217" width="16.875" style="38" customWidth="1"/>
    <col min="9218" max="9218" width="8" style="38" customWidth="1"/>
    <col min="9219" max="9219" width="9.625" style="38" customWidth="1"/>
    <col min="9220" max="9220" width="9" style="38"/>
    <col min="9221" max="9221" width="4.375" style="38" customWidth="1"/>
    <col min="9222" max="9222" width="15.375" style="38" customWidth="1"/>
    <col min="9223" max="9227" width="9" style="38"/>
    <col min="9228" max="9228" width="2.75" style="38" customWidth="1"/>
    <col min="9229" max="9230" width="0" style="38" hidden="1" customWidth="1"/>
    <col min="9231" max="9471" width="9" style="38"/>
    <col min="9472" max="9472" width="30.125" style="38" customWidth="1"/>
    <col min="9473" max="9473" width="16.875" style="38" customWidth="1"/>
    <col min="9474" max="9474" width="8" style="38" customWidth="1"/>
    <col min="9475" max="9475" width="9.625" style="38" customWidth="1"/>
    <col min="9476" max="9476" width="9" style="38"/>
    <col min="9477" max="9477" width="4.375" style="38" customWidth="1"/>
    <col min="9478" max="9478" width="15.375" style="38" customWidth="1"/>
    <col min="9479" max="9483" width="9" style="38"/>
    <col min="9484" max="9484" width="2.75" style="38" customWidth="1"/>
    <col min="9485" max="9486" width="0" style="38" hidden="1" customWidth="1"/>
    <col min="9487" max="9727" width="9" style="38"/>
    <col min="9728" max="9728" width="30.125" style="38" customWidth="1"/>
    <col min="9729" max="9729" width="16.875" style="38" customWidth="1"/>
    <col min="9730" max="9730" width="8" style="38" customWidth="1"/>
    <col min="9731" max="9731" width="9.625" style="38" customWidth="1"/>
    <col min="9732" max="9732" width="9" style="38"/>
    <col min="9733" max="9733" width="4.375" style="38" customWidth="1"/>
    <col min="9734" max="9734" width="15.375" style="38" customWidth="1"/>
    <col min="9735" max="9739" width="9" style="38"/>
    <col min="9740" max="9740" width="2.75" style="38" customWidth="1"/>
    <col min="9741" max="9742" width="0" style="38" hidden="1" customWidth="1"/>
    <col min="9743" max="9983" width="9" style="38"/>
    <col min="9984" max="9984" width="30.125" style="38" customWidth="1"/>
    <col min="9985" max="9985" width="16.875" style="38" customWidth="1"/>
    <col min="9986" max="9986" width="8" style="38" customWidth="1"/>
    <col min="9987" max="9987" width="9.625" style="38" customWidth="1"/>
    <col min="9988" max="9988" width="9" style="38"/>
    <col min="9989" max="9989" width="4.375" style="38" customWidth="1"/>
    <col min="9990" max="9990" width="15.375" style="38" customWidth="1"/>
    <col min="9991" max="9995" width="9" style="38"/>
    <col min="9996" max="9996" width="2.75" style="38" customWidth="1"/>
    <col min="9997" max="9998" width="0" style="38" hidden="1" customWidth="1"/>
    <col min="9999" max="10239" width="9" style="38"/>
    <col min="10240" max="10240" width="30.125" style="38" customWidth="1"/>
    <col min="10241" max="10241" width="16.875" style="38" customWidth="1"/>
    <col min="10242" max="10242" width="8" style="38" customWidth="1"/>
    <col min="10243" max="10243" width="9.625" style="38" customWidth="1"/>
    <col min="10244" max="10244" width="9" style="38"/>
    <col min="10245" max="10245" width="4.375" style="38" customWidth="1"/>
    <col min="10246" max="10246" width="15.375" style="38" customWidth="1"/>
    <col min="10247" max="10251" width="9" style="38"/>
    <col min="10252" max="10252" width="2.75" style="38" customWidth="1"/>
    <col min="10253" max="10254" width="0" style="38" hidden="1" customWidth="1"/>
    <col min="10255" max="10495" width="9" style="38"/>
    <col min="10496" max="10496" width="30.125" style="38" customWidth="1"/>
    <col min="10497" max="10497" width="16.875" style="38" customWidth="1"/>
    <col min="10498" max="10498" width="8" style="38" customWidth="1"/>
    <col min="10499" max="10499" width="9.625" style="38" customWidth="1"/>
    <col min="10500" max="10500" width="9" style="38"/>
    <col min="10501" max="10501" width="4.375" style="38" customWidth="1"/>
    <col min="10502" max="10502" width="15.375" style="38" customWidth="1"/>
    <col min="10503" max="10507" width="9" style="38"/>
    <col min="10508" max="10508" width="2.75" style="38" customWidth="1"/>
    <col min="10509" max="10510" width="0" style="38" hidden="1" customWidth="1"/>
    <col min="10511" max="10751" width="9" style="38"/>
    <col min="10752" max="10752" width="30.125" style="38" customWidth="1"/>
    <col min="10753" max="10753" width="16.875" style="38" customWidth="1"/>
    <col min="10754" max="10754" width="8" style="38" customWidth="1"/>
    <col min="10755" max="10755" width="9.625" style="38" customWidth="1"/>
    <col min="10756" max="10756" width="9" style="38"/>
    <col min="10757" max="10757" width="4.375" style="38" customWidth="1"/>
    <col min="10758" max="10758" width="15.375" style="38" customWidth="1"/>
    <col min="10759" max="10763" width="9" style="38"/>
    <col min="10764" max="10764" width="2.75" style="38" customWidth="1"/>
    <col min="10765" max="10766" width="0" style="38" hidden="1" customWidth="1"/>
    <col min="10767" max="11007" width="9" style="38"/>
    <col min="11008" max="11008" width="30.125" style="38" customWidth="1"/>
    <col min="11009" max="11009" width="16.875" style="38" customWidth="1"/>
    <col min="11010" max="11010" width="8" style="38" customWidth="1"/>
    <col min="11011" max="11011" width="9.625" style="38" customWidth="1"/>
    <col min="11012" max="11012" width="9" style="38"/>
    <col min="11013" max="11013" width="4.375" style="38" customWidth="1"/>
    <col min="11014" max="11014" width="15.375" style="38" customWidth="1"/>
    <col min="11015" max="11019" width="9" style="38"/>
    <col min="11020" max="11020" width="2.75" style="38" customWidth="1"/>
    <col min="11021" max="11022" width="0" style="38" hidden="1" customWidth="1"/>
    <col min="11023" max="11263" width="9" style="38"/>
    <col min="11264" max="11264" width="30.125" style="38" customWidth="1"/>
    <col min="11265" max="11265" width="16.875" style="38" customWidth="1"/>
    <col min="11266" max="11266" width="8" style="38" customWidth="1"/>
    <col min="11267" max="11267" width="9.625" style="38" customWidth="1"/>
    <col min="11268" max="11268" width="9" style="38"/>
    <col min="11269" max="11269" width="4.375" style="38" customWidth="1"/>
    <col min="11270" max="11270" width="15.375" style="38" customWidth="1"/>
    <col min="11271" max="11275" width="9" style="38"/>
    <col min="11276" max="11276" width="2.75" style="38" customWidth="1"/>
    <col min="11277" max="11278" width="0" style="38" hidden="1" customWidth="1"/>
    <col min="11279" max="11519" width="9" style="38"/>
    <col min="11520" max="11520" width="30.125" style="38" customWidth="1"/>
    <col min="11521" max="11521" width="16.875" style="38" customWidth="1"/>
    <col min="11522" max="11522" width="8" style="38" customWidth="1"/>
    <col min="11523" max="11523" width="9.625" style="38" customWidth="1"/>
    <col min="11524" max="11524" width="9" style="38"/>
    <col min="11525" max="11525" width="4.375" style="38" customWidth="1"/>
    <col min="11526" max="11526" width="15.375" style="38" customWidth="1"/>
    <col min="11527" max="11531" width="9" style="38"/>
    <col min="11532" max="11532" width="2.75" style="38" customWidth="1"/>
    <col min="11533" max="11534" width="0" style="38" hidden="1" customWidth="1"/>
    <col min="11535" max="11775" width="9" style="38"/>
    <col min="11776" max="11776" width="30.125" style="38" customWidth="1"/>
    <col min="11777" max="11777" width="16.875" style="38" customWidth="1"/>
    <col min="11778" max="11778" width="8" style="38" customWidth="1"/>
    <col min="11779" max="11779" width="9.625" style="38" customWidth="1"/>
    <col min="11780" max="11780" width="9" style="38"/>
    <col min="11781" max="11781" width="4.375" style="38" customWidth="1"/>
    <col min="11782" max="11782" width="15.375" style="38" customWidth="1"/>
    <col min="11783" max="11787" width="9" style="38"/>
    <col min="11788" max="11788" width="2.75" style="38" customWidth="1"/>
    <col min="11789" max="11790" width="0" style="38" hidden="1" customWidth="1"/>
    <col min="11791" max="12031" width="9" style="38"/>
    <col min="12032" max="12032" width="30.125" style="38" customWidth="1"/>
    <col min="12033" max="12033" width="16.875" style="38" customWidth="1"/>
    <col min="12034" max="12034" width="8" style="38" customWidth="1"/>
    <col min="12035" max="12035" width="9.625" style="38" customWidth="1"/>
    <col min="12036" max="12036" width="9" style="38"/>
    <col min="12037" max="12037" width="4.375" style="38" customWidth="1"/>
    <col min="12038" max="12038" width="15.375" style="38" customWidth="1"/>
    <col min="12039" max="12043" width="9" style="38"/>
    <col min="12044" max="12044" width="2.75" style="38" customWidth="1"/>
    <col min="12045" max="12046" width="0" style="38" hidden="1" customWidth="1"/>
    <col min="12047" max="12287" width="9" style="38"/>
    <col min="12288" max="12288" width="30.125" style="38" customWidth="1"/>
    <col min="12289" max="12289" width="16.875" style="38" customWidth="1"/>
    <col min="12290" max="12290" width="8" style="38" customWidth="1"/>
    <col min="12291" max="12291" width="9.625" style="38" customWidth="1"/>
    <col min="12292" max="12292" width="9" style="38"/>
    <col min="12293" max="12293" width="4.375" style="38" customWidth="1"/>
    <col min="12294" max="12294" width="15.375" style="38" customWidth="1"/>
    <col min="12295" max="12299" width="9" style="38"/>
    <col min="12300" max="12300" width="2.75" style="38" customWidth="1"/>
    <col min="12301" max="12302" width="0" style="38" hidden="1" customWidth="1"/>
    <col min="12303" max="12543" width="9" style="38"/>
    <col min="12544" max="12544" width="30.125" style="38" customWidth="1"/>
    <col min="12545" max="12545" width="16.875" style="38" customWidth="1"/>
    <col min="12546" max="12546" width="8" style="38" customWidth="1"/>
    <col min="12547" max="12547" width="9.625" style="38" customWidth="1"/>
    <col min="12548" max="12548" width="9" style="38"/>
    <col min="12549" max="12549" width="4.375" style="38" customWidth="1"/>
    <col min="12550" max="12550" width="15.375" style="38" customWidth="1"/>
    <col min="12551" max="12555" width="9" style="38"/>
    <col min="12556" max="12556" width="2.75" style="38" customWidth="1"/>
    <col min="12557" max="12558" width="0" style="38" hidden="1" customWidth="1"/>
    <col min="12559" max="12799" width="9" style="38"/>
    <col min="12800" max="12800" width="30.125" style="38" customWidth="1"/>
    <col min="12801" max="12801" width="16.875" style="38" customWidth="1"/>
    <col min="12802" max="12802" width="8" style="38" customWidth="1"/>
    <col min="12803" max="12803" width="9.625" style="38" customWidth="1"/>
    <col min="12804" max="12804" width="9" style="38"/>
    <col min="12805" max="12805" width="4.375" style="38" customWidth="1"/>
    <col min="12806" max="12806" width="15.375" style="38" customWidth="1"/>
    <col min="12807" max="12811" width="9" style="38"/>
    <col min="12812" max="12812" width="2.75" style="38" customWidth="1"/>
    <col min="12813" max="12814" width="0" style="38" hidden="1" customWidth="1"/>
    <col min="12815" max="13055" width="9" style="38"/>
    <col min="13056" max="13056" width="30.125" style="38" customWidth="1"/>
    <col min="13057" max="13057" width="16.875" style="38" customWidth="1"/>
    <col min="13058" max="13058" width="8" style="38" customWidth="1"/>
    <col min="13059" max="13059" width="9.625" style="38" customWidth="1"/>
    <col min="13060" max="13060" width="9" style="38"/>
    <col min="13061" max="13061" width="4.375" style="38" customWidth="1"/>
    <col min="13062" max="13062" width="15.375" style="38" customWidth="1"/>
    <col min="13063" max="13067" width="9" style="38"/>
    <col min="13068" max="13068" width="2.75" style="38" customWidth="1"/>
    <col min="13069" max="13070" width="0" style="38" hidden="1" customWidth="1"/>
    <col min="13071" max="13311" width="9" style="38"/>
    <col min="13312" max="13312" width="30.125" style="38" customWidth="1"/>
    <col min="13313" max="13313" width="16.875" style="38" customWidth="1"/>
    <col min="13314" max="13314" width="8" style="38" customWidth="1"/>
    <col min="13315" max="13315" width="9.625" style="38" customWidth="1"/>
    <col min="13316" max="13316" width="9" style="38"/>
    <col min="13317" max="13317" width="4.375" style="38" customWidth="1"/>
    <col min="13318" max="13318" width="15.375" style="38" customWidth="1"/>
    <col min="13319" max="13323" width="9" style="38"/>
    <col min="13324" max="13324" width="2.75" style="38" customWidth="1"/>
    <col min="13325" max="13326" width="0" style="38" hidden="1" customWidth="1"/>
    <col min="13327" max="13567" width="9" style="38"/>
    <col min="13568" max="13568" width="30.125" style="38" customWidth="1"/>
    <col min="13569" max="13569" width="16.875" style="38" customWidth="1"/>
    <col min="13570" max="13570" width="8" style="38" customWidth="1"/>
    <col min="13571" max="13571" width="9.625" style="38" customWidth="1"/>
    <col min="13572" max="13572" width="9" style="38"/>
    <col min="13573" max="13573" width="4.375" style="38" customWidth="1"/>
    <col min="13574" max="13574" width="15.375" style="38" customWidth="1"/>
    <col min="13575" max="13579" width="9" style="38"/>
    <col min="13580" max="13580" width="2.75" style="38" customWidth="1"/>
    <col min="13581" max="13582" width="0" style="38" hidden="1" customWidth="1"/>
    <col min="13583" max="13823" width="9" style="38"/>
    <col min="13824" max="13824" width="30.125" style="38" customWidth="1"/>
    <col min="13825" max="13825" width="16.875" style="38" customWidth="1"/>
    <col min="13826" max="13826" width="8" style="38" customWidth="1"/>
    <col min="13827" max="13827" width="9.625" style="38" customWidth="1"/>
    <col min="13828" max="13828" width="9" style="38"/>
    <col min="13829" max="13829" width="4.375" style="38" customWidth="1"/>
    <col min="13830" max="13830" width="15.375" style="38" customWidth="1"/>
    <col min="13831" max="13835" width="9" style="38"/>
    <col min="13836" max="13836" width="2.75" style="38" customWidth="1"/>
    <col min="13837" max="13838" width="0" style="38" hidden="1" customWidth="1"/>
    <col min="13839" max="14079" width="9" style="38"/>
    <col min="14080" max="14080" width="30.125" style="38" customWidth="1"/>
    <col min="14081" max="14081" width="16.875" style="38" customWidth="1"/>
    <col min="14082" max="14082" width="8" style="38" customWidth="1"/>
    <col min="14083" max="14083" width="9.625" style="38" customWidth="1"/>
    <col min="14084" max="14084" width="9" style="38"/>
    <col min="14085" max="14085" width="4.375" style="38" customWidth="1"/>
    <col min="14086" max="14086" width="15.375" style="38" customWidth="1"/>
    <col min="14087" max="14091" width="9" style="38"/>
    <col min="14092" max="14092" width="2.75" style="38" customWidth="1"/>
    <col min="14093" max="14094" width="0" style="38" hidden="1" customWidth="1"/>
    <col min="14095" max="14335" width="9" style="38"/>
    <col min="14336" max="14336" width="30.125" style="38" customWidth="1"/>
    <col min="14337" max="14337" width="16.875" style="38" customWidth="1"/>
    <col min="14338" max="14338" width="8" style="38" customWidth="1"/>
    <col min="14339" max="14339" width="9.625" style="38" customWidth="1"/>
    <col min="14340" max="14340" width="9" style="38"/>
    <col min="14341" max="14341" width="4.375" style="38" customWidth="1"/>
    <col min="14342" max="14342" width="15.375" style="38" customWidth="1"/>
    <col min="14343" max="14347" width="9" style="38"/>
    <col min="14348" max="14348" width="2.75" style="38" customWidth="1"/>
    <col min="14349" max="14350" width="0" style="38" hidden="1" customWidth="1"/>
    <col min="14351" max="14591" width="9" style="38"/>
    <col min="14592" max="14592" width="30.125" style="38" customWidth="1"/>
    <col min="14593" max="14593" width="16.875" style="38" customWidth="1"/>
    <col min="14594" max="14594" width="8" style="38" customWidth="1"/>
    <col min="14595" max="14595" width="9.625" style="38" customWidth="1"/>
    <col min="14596" max="14596" width="9" style="38"/>
    <col min="14597" max="14597" width="4.375" style="38" customWidth="1"/>
    <col min="14598" max="14598" width="15.375" style="38" customWidth="1"/>
    <col min="14599" max="14603" width="9" style="38"/>
    <col min="14604" max="14604" width="2.75" style="38" customWidth="1"/>
    <col min="14605" max="14606" width="0" style="38" hidden="1" customWidth="1"/>
    <col min="14607" max="14847" width="9" style="38"/>
    <col min="14848" max="14848" width="30.125" style="38" customWidth="1"/>
    <col min="14849" max="14849" width="16.875" style="38" customWidth="1"/>
    <col min="14850" max="14850" width="8" style="38" customWidth="1"/>
    <col min="14851" max="14851" width="9.625" style="38" customWidth="1"/>
    <col min="14852" max="14852" width="9" style="38"/>
    <col min="14853" max="14853" width="4.375" style="38" customWidth="1"/>
    <col min="14854" max="14854" width="15.375" style="38" customWidth="1"/>
    <col min="14855" max="14859" width="9" style="38"/>
    <col min="14860" max="14860" width="2.75" style="38" customWidth="1"/>
    <col min="14861" max="14862" width="0" style="38" hidden="1" customWidth="1"/>
    <col min="14863" max="15103" width="9" style="38"/>
    <col min="15104" max="15104" width="30.125" style="38" customWidth="1"/>
    <col min="15105" max="15105" width="16.875" style="38" customWidth="1"/>
    <col min="15106" max="15106" width="8" style="38" customWidth="1"/>
    <col min="15107" max="15107" width="9.625" style="38" customWidth="1"/>
    <col min="15108" max="15108" width="9" style="38"/>
    <col min="15109" max="15109" width="4.375" style="38" customWidth="1"/>
    <col min="15110" max="15110" width="15.375" style="38" customWidth="1"/>
    <col min="15111" max="15115" width="9" style="38"/>
    <col min="15116" max="15116" width="2.75" style="38" customWidth="1"/>
    <col min="15117" max="15118" width="0" style="38" hidden="1" customWidth="1"/>
    <col min="15119" max="15359" width="9" style="38"/>
    <col min="15360" max="15360" width="30.125" style="38" customWidth="1"/>
    <col min="15361" max="15361" width="16.875" style="38" customWidth="1"/>
    <col min="15362" max="15362" width="8" style="38" customWidth="1"/>
    <col min="15363" max="15363" width="9.625" style="38" customWidth="1"/>
    <col min="15364" max="15364" width="9" style="38"/>
    <col min="15365" max="15365" width="4.375" style="38" customWidth="1"/>
    <col min="15366" max="15366" width="15.375" style="38" customWidth="1"/>
    <col min="15367" max="15371" width="9" style="38"/>
    <col min="15372" max="15372" width="2.75" style="38" customWidth="1"/>
    <col min="15373" max="15374" width="0" style="38" hidden="1" customWidth="1"/>
    <col min="15375" max="15615" width="9" style="38"/>
    <col min="15616" max="15616" width="30.125" style="38" customWidth="1"/>
    <col min="15617" max="15617" width="16.875" style="38" customWidth="1"/>
    <col min="15618" max="15618" width="8" style="38" customWidth="1"/>
    <col min="15619" max="15619" width="9.625" style="38" customWidth="1"/>
    <col min="15620" max="15620" width="9" style="38"/>
    <col min="15621" max="15621" width="4.375" style="38" customWidth="1"/>
    <col min="15622" max="15622" width="15.375" style="38" customWidth="1"/>
    <col min="15623" max="15627" width="9" style="38"/>
    <col min="15628" max="15628" width="2.75" style="38" customWidth="1"/>
    <col min="15629" max="15630" width="0" style="38" hidden="1" customWidth="1"/>
    <col min="15631" max="15871" width="9" style="38"/>
    <col min="15872" max="15872" width="30.125" style="38" customWidth="1"/>
    <col min="15873" max="15873" width="16.875" style="38" customWidth="1"/>
    <col min="15874" max="15874" width="8" style="38" customWidth="1"/>
    <col min="15875" max="15875" width="9.625" style="38" customWidth="1"/>
    <col min="15876" max="15876" width="9" style="38"/>
    <col min="15877" max="15877" width="4.375" style="38" customWidth="1"/>
    <col min="15878" max="15878" width="15.375" style="38" customWidth="1"/>
    <col min="15879" max="15883" width="9" style="38"/>
    <col min="15884" max="15884" width="2.75" style="38" customWidth="1"/>
    <col min="15885" max="15886" width="0" style="38" hidden="1" customWidth="1"/>
    <col min="15887" max="16127" width="9" style="38"/>
    <col min="16128" max="16128" width="30.125" style="38" customWidth="1"/>
    <col min="16129" max="16129" width="16.875" style="38" customWidth="1"/>
    <col min="16130" max="16130" width="8" style="38" customWidth="1"/>
    <col min="16131" max="16131" width="9.625" style="38" customWidth="1"/>
    <col min="16132" max="16132" width="9" style="38"/>
    <col min="16133" max="16133" width="4.375" style="38" customWidth="1"/>
    <col min="16134" max="16134" width="15.375" style="38" customWidth="1"/>
    <col min="16135" max="16139" width="9" style="38"/>
    <col min="16140" max="16140" width="2.75" style="38" customWidth="1"/>
    <col min="16141" max="16142" width="0" style="38" hidden="1" customWidth="1"/>
    <col min="16143" max="16384" width="9" style="38"/>
  </cols>
  <sheetData>
    <row r="1" spans="1:14" x14ac:dyDescent="0.2">
      <c r="A1" s="83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5"/>
    </row>
    <row r="2" spans="1:14" ht="18" customHeight="1" x14ac:dyDescent="0.2">
      <c r="A2" s="410"/>
      <c r="B2" s="411"/>
      <c r="C2" s="412"/>
      <c r="D2" s="412"/>
      <c r="E2" s="411"/>
      <c r="F2" s="411"/>
      <c r="G2" s="411"/>
      <c r="H2" s="413"/>
      <c r="I2" s="413"/>
      <c r="J2" s="413"/>
      <c r="K2" s="413"/>
      <c r="L2" s="413"/>
      <c r="M2" s="413"/>
      <c r="N2" s="414"/>
    </row>
    <row r="3" spans="1:14" ht="18" customHeight="1" x14ac:dyDescent="0.2">
      <c r="A3" s="415"/>
      <c r="B3" s="416"/>
      <c r="C3" s="416"/>
      <c r="D3" s="416"/>
      <c r="E3" s="416"/>
      <c r="F3" s="416"/>
      <c r="G3" s="416"/>
      <c r="H3" s="416"/>
      <c r="I3" s="416"/>
      <c r="J3" s="416"/>
      <c r="K3" s="416"/>
      <c r="L3" s="416"/>
      <c r="M3" s="416"/>
      <c r="N3" s="417"/>
    </row>
    <row r="4" spans="1:14" ht="18" customHeight="1" x14ac:dyDescent="0.2">
      <c r="A4" s="415"/>
      <c r="B4" s="416"/>
      <c r="C4" s="416"/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417"/>
    </row>
    <row r="5" spans="1:14" ht="41.25" customHeight="1" x14ac:dyDescent="0.2">
      <c r="A5" s="418"/>
      <c r="B5" s="419"/>
      <c r="C5" s="419"/>
      <c r="D5" s="419"/>
      <c r="E5" s="419"/>
      <c r="F5" s="419"/>
      <c r="G5" s="419"/>
      <c r="H5" s="419"/>
      <c r="I5" s="419"/>
      <c r="J5" s="419"/>
      <c r="K5" s="419"/>
      <c r="L5" s="419"/>
      <c r="M5" s="419"/>
      <c r="N5" s="420"/>
    </row>
    <row r="6" spans="1:14" ht="18" customHeight="1" x14ac:dyDescent="0.25">
      <c r="A6" s="86"/>
      <c r="B6" s="87"/>
      <c r="C6" s="87"/>
      <c r="D6" s="88"/>
      <c r="E6" s="89"/>
      <c r="F6" s="90"/>
      <c r="G6" s="90"/>
      <c r="H6" s="90"/>
      <c r="I6" s="90"/>
      <c r="J6" s="91"/>
      <c r="K6" s="91"/>
      <c r="L6" s="91"/>
      <c r="M6" s="91"/>
      <c r="N6" s="92"/>
    </row>
    <row r="7" spans="1:14" x14ac:dyDescent="0.2">
      <c r="A7" s="421" t="s">
        <v>66</v>
      </c>
      <c r="B7" s="422"/>
      <c r="C7" s="422"/>
      <c r="D7" s="422"/>
      <c r="E7" s="422"/>
      <c r="F7" s="422"/>
      <c r="G7" s="422"/>
      <c r="H7" s="422"/>
      <c r="I7" s="422"/>
      <c r="J7" s="422"/>
      <c r="K7" s="422"/>
      <c r="L7" s="422"/>
      <c r="M7" s="422"/>
      <c r="N7" s="423"/>
    </row>
    <row r="8" spans="1:14" x14ac:dyDescent="0.2">
      <c r="A8" s="421"/>
      <c r="B8" s="422"/>
      <c r="C8" s="422"/>
      <c r="D8" s="422"/>
      <c r="E8" s="422"/>
      <c r="F8" s="422"/>
      <c r="G8" s="422"/>
      <c r="H8" s="422"/>
      <c r="I8" s="422"/>
      <c r="J8" s="422"/>
      <c r="K8" s="422"/>
      <c r="L8" s="422"/>
      <c r="M8" s="422"/>
      <c r="N8" s="423"/>
    </row>
    <row r="9" spans="1:14" ht="15.75" x14ac:dyDescent="0.25">
      <c r="A9" s="93"/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5"/>
    </row>
    <row r="10" spans="1:14" ht="15.75" x14ac:dyDescent="0.25">
      <c r="A10" s="406" t="s">
        <v>67</v>
      </c>
      <c r="B10" s="407"/>
      <c r="C10" s="39"/>
      <c r="D10" s="39"/>
      <c r="E10" s="39"/>
      <c r="F10" s="39"/>
      <c r="G10" s="39"/>
      <c r="H10" s="40"/>
      <c r="I10" s="39"/>
      <c r="J10" s="41"/>
      <c r="K10" s="41"/>
      <c r="L10" s="41"/>
      <c r="M10" s="41"/>
      <c r="N10" s="96"/>
    </row>
    <row r="11" spans="1:14" ht="20.25" x14ac:dyDescent="0.3">
      <c r="A11" s="97"/>
      <c r="B11" s="98"/>
      <c r="C11" s="99" t="s">
        <v>68</v>
      </c>
      <c r="D11" s="99" t="s">
        <v>69</v>
      </c>
      <c r="E11" s="99" t="s">
        <v>70</v>
      </c>
      <c r="F11" s="98"/>
      <c r="G11" s="98"/>
      <c r="H11" s="98"/>
      <c r="I11" s="98"/>
      <c r="J11" s="98"/>
      <c r="K11" s="98"/>
      <c r="L11" s="98"/>
      <c r="M11" s="98"/>
      <c r="N11" s="100"/>
    </row>
    <row r="12" spans="1:14" ht="12.75" customHeight="1" x14ac:dyDescent="0.3">
      <c r="A12" s="424" t="s">
        <v>71</v>
      </c>
      <c r="B12" s="425"/>
      <c r="C12" s="99">
        <v>1</v>
      </c>
      <c r="D12" s="101">
        <v>1</v>
      </c>
      <c r="E12" s="102">
        <f>C12*D12</f>
        <v>1</v>
      </c>
      <c r="F12" s="98"/>
      <c r="G12" s="98"/>
      <c r="H12" s="98"/>
      <c r="I12" s="98"/>
      <c r="J12" s="98"/>
      <c r="K12" s="98"/>
      <c r="L12" s="98"/>
      <c r="M12" s="98"/>
      <c r="N12" s="100"/>
    </row>
    <row r="13" spans="1:14" ht="12.75" customHeight="1" x14ac:dyDescent="0.3">
      <c r="A13" s="424" t="s">
        <v>72</v>
      </c>
      <c r="B13" s="425"/>
      <c r="C13" s="99">
        <v>1</v>
      </c>
      <c r="D13" s="101">
        <v>1</v>
      </c>
      <c r="E13" s="102">
        <f>C13*D13</f>
        <v>1</v>
      </c>
      <c r="F13" s="98"/>
      <c r="G13" s="98"/>
      <c r="H13" s="98"/>
      <c r="I13" s="98"/>
      <c r="J13" s="98"/>
      <c r="K13" s="98"/>
      <c r="L13" s="98"/>
      <c r="M13" s="98"/>
      <c r="N13" s="100"/>
    </row>
    <row r="14" spans="1:14" ht="12.75" customHeight="1" x14ac:dyDescent="0.3">
      <c r="A14" s="426" t="s">
        <v>73</v>
      </c>
      <c r="B14" s="427"/>
      <c r="C14" s="427"/>
      <c r="D14" s="427"/>
      <c r="E14" s="103">
        <f>E12</f>
        <v>1</v>
      </c>
      <c r="F14" s="98"/>
      <c r="G14" s="98"/>
      <c r="H14" s="98"/>
      <c r="I14" s="98"/>
      <c r="J14" s="98"/>
      <c r="K14" s="98"/>
      <c r="L14" s="98"/>
      <c r="M14" s="98"/>
      <c r="N14" s="100"/>
    </row>
    <row r="15" spans="1:14" ht="12.75" customHeight="1" x14ac:dyDescent="0.3">
      <c r="A15" s="426" t="s">
        <v>74</v>
      </c>
      <c r="B15" s="427"/>
      <c r="C15" s="427"/>
      <c r="D15" s="427"/>
      <c r="E15" s="103">
        <f>E13</f>
        <v>1</v>
      </c>
      <c r="F15" s="98"/>
      <c r="G15" s="98"/>
      <c r="H15" s="98"/>
      <c r="I15" s="98"/>
      <c r="J15" s="98"/>
      <c r="K15" s="98"/>
      <c r="L15" s="98"/>
      <c r="M15" s="98"/>
      <c r="N15" s="100"/>
    </row>
    <row r="16" spans="1:14" ht="23.25" x14ac:dyDescent="0.2">
      <c r="A16" s="104"/>
      <c r="B16" s="105"/>
      <c r="C16" s="105"/>
      <c r="D16" s="105"/>
      <c r="E16" s="105"/>
      <c r="F16" s="105"/>
      <c r="G16" s="106"/>
      <c r="H16" s="106"/>
      <c r="I16" s="106"/>
      <c r="J16" s="106"/>
      <c r="K16" s="106"/>
      <c r="L16" s="106"/>
      <c r="M16" s="106"/>
      <c r="N16" s="107"/>
    </row>
    <row r="17" spans="1:17" x14ac:dyDescent="0.2">
      <c r="A17" s="428" t="s">
        <v>75</v>
      </c>
      <c r="B17" s="429"/>
      <c r="C17" s="429"/>
      <c r="D17" s="429"/>
      <c r="E17" s="429"/>
      <c r="F17" s="429"/>
      <c r="G17" s="429"/>
      <c r="H17" s="429"/>
      <c r="I17" s="429"/>
      <c r="J17" s="429"/>
      <c r="K17" s="429"/>
      <c r="L17" s="429"/>
      <c r="M17" s="429"/>
      <c r="N17" s="430"/>
    </row>
    <row r="18" spans="1:17" ht="15.75" x14ac:dyDescent="0.25">
      <c r="A18" s="406" t="s">
        <v>76</v>
      </c>
      <c r="B18" s="407"/>
      <c r="C18" s="39"/>
      <c r="D18" s="39"/>
      <c r="E18" s="39"/>
      <c r="F18" s="39"/>
      <c r="G18" s="39"/>
      <c r="H18" s="40"/>
      <c r="I18" s="39"/>
      <c r="J18" s="41"/>
      <c r="K18" s="41"/>
      <c r="L18" s="41"/>
      <c r="M18" s="41"/>
      <c r="N18" s="96"/>
    </row>
    <row r="19" spans="1:17" ht="15.75" x14ac:dyDescent="0.25">
      <c r="A19" s="93"/>
      <c r="B19" s="94"/>
      <c r="C19" s="108"/>
      <c r="D19" s="108"/>
      <c r="E19" s="108"/>
      <c r="F19" s="108"/>
      <c r="G19" s="108"/>
      <c r="H19" s="109"/>
      <c r="I19" s="108"/>
      <c r="J19" s="106"/>
      <c r="K19" s="106"/>
      <c r="L19" s="106"/>
      <c r="M19" s="106"/>
      <c r="N19" s="107"/>
    </row>
    <row r="20" spans="1:17" ht="30.75" customHeight="1" x14ac:dyDescent="0.25">
      <c r="A20" s="93"/>
      <c r="B20" s="404" t="s">
        <v>84</v>
      </c>
      <c r="C20" s="404"/>
      <c r="D20" s="404"/>
      <c r="E20" s="404"/>
      <c r="F20" s="404"/>
      <c r="G20" s="108"/>
      <c r="H20" s="110">
        <v>13.5</v>
      </c>
      <c r="I20" s="108" t="s">
        <v>77</v>
      </c>
      <c r="J20" s="405"/>
      <c r="K20" s="405"/>
      <c r="L20" s="405"/>
      <c r="M20" s="405"/>
      <c r="N20" s="107"/>
    </row>
    <row r="21" spans="1:17" ht="32.25" customHeight="1" x14ac:dyDescent="0.25">
      <c r="A21" s="93"/>
      <c r="B21" s="404" t="s">
        <v>85</v>
      </c>
      <c r="C21" s="404"/>
      <c r="D21" s="404"/>
      <c r="E21" s="404"/>
      <c r="F21" s="404"/>
      <c r="G21" s="108"/>
      <c r="H21" s="110">
        <v>8.1</v>
      </c>
      <c r="I21" s="108" t="s">
        <v>77</v>
      </c>
      <c r="J21" s="405"/>
      <c r="K21" s="405"/>
      <c r="L21" s="405"/>
      <c r="M21" s="405"/>
      <c r="N21" s="107"/>
    </row>
    <row r="22" spans="1:17" ht="26.25" customHeight="1" x14ac:dyDescent="0.25">
      <c r="A22" s="93"/>
      <c r="B22" s="404" t="s">
        <v>86</v>
      </c>
      <c r="C22" s="404"/>
      <c r="D22" s="404"/>
      <c r="E22" s="404"/>
      <c r="F22" s="404"/>
      <c r="G22" s="108"/>
      <c r="H22" s="110">
        <v>11.65</v>
      </c>
      <c r="I22" s="108" t="s">
        <v>77</v>
      </c>
      <c r="J22" s="405"/>
      <c r="K22" s="405"/>
      <c r="L22" s="405"/>
      <c r="M22" s="405"/>
      <c r="N22" s="107"/>
    </row>
    <row r="23" spans="1:17" ht="24" customHeight="1" x14ac:dyDescent="0.2">
      <c r="A23" s="111"/>
      <c r="B23" s="404" t="s">
        <v>87</v>
      </c>
      <c r="C23" s="404"/>
      <c r="D23" s="404"/>
      <c r="E23" s="404"/>
      <c r="F23" s="404"/>
      <c r="G23" s="108"/>
      <c r="H23" s="110">
        <v>4.5</v>
      </c>
      <c r="I23" s="108" t="s">
        <v>77</v>
      </c>
      <c r="J23" s="405"/>
      <c r="K23" s="405"/>
      <c r="L23" s="405"/>
      <c r="M23" s="405"/>
      <c r="N23" s="107"/>
    </row>
    <row r="24" spans="1:17" ht="27" customHeight="1" x14ac:dyDescent="0.2">
      <c r="A24" s="111"/>
      <c r="B24" s="404" t="s">
        <v>88</v>
      </c>
      <c r="C24" s="404"/>
      <c r="D24" s="404"/>
      <c r="E24" s="404"/>
      <c r="F24" s="404"/>
      <c r="G24" s="108"/>
      <c r="H24" s="110">
        <v>17</v>
      </c>
      <c r="I24" s="108" t="s">
        <v>77</v>
      </c>
      <c r="J24" s="405"/>
      <c r="K24" s="405"/>
      <c r="L24" s="405"/>
      <c r="M24" s="405"/>
      <c r="N24" s="107"/>
    </row>
    <row r="25" spans="1:17" ht="54" customHeight="1" x14ac:dyDescent="0.2">
      <c r="A25" s="111"/>
      <c r="B25" s="404" t="s">
        <v>89</v>
      </c>
      <c r="C25" s="404"/>
      <c r="D25" s="404"/>
      <c r="E25" s="404"/>
      <c r="F25" s="404"/>
      <c r="G25" s="108"/>
      <c r="H25" s="110">
        <v>6.67</v>
      </c>
      <c r="I25" s="108" t="s">
        <v>77</v>
      </c>
      <c r="J25" s="405"/>
      <c r="K25" s="405"/>
      <c r="L25" s="405"/>
      <c r="M25" s="405"/>
      <c r="N25" s="107"/>
    </row>
    <row r="26" spans="1:17" ht="26.25" customHeight="1" x14ac:dyDescent="0.2">
      <c r="A26" s="111"/>
      <c r="B26" s="404" t="s">
        <v>78</v>
      </c>
      <c r="C26" s="404"/>
      <c r="D26" s="404"/>
      <c r="E26" s="404"/>
      <c r="F26" s="404"/>
      <c r="G26" s="108"/>
      <c r="H26" s="110">
        <v>10.8</v>
      </c>
      <c r="I26" s="108" t="s">
        <v>77</v>
      </c>
      <c r="J26" s="405"/>
      <c r="K26" s="405"/>
      <c r="L26" s="405"/>
      <c r="M26" s="405"/>
      <c r="N26" s="107"/>
    </row>
    <row r="27" spans="1:17" ht="12.75" customHeight="1" x14ac:dyDescent="0.2">
      <c r="A27" s="111"/>
      <c r="B27" s="404" t="s">
        <v>79</v>
      </c>
      <c r="C27" s="404"/>
      <c r="D27" s="404"/>
      <c r="E27" s="404"/>
      <c r="F27" s="404"/>
      <c r="G27" s="108"/>
      <c r="H27" s="110">
        <v>4.68</v>
      </c>
      <c r="I27" s="108" t="s">
        <v>77</v>
      </c>
      <c r="J27" s="405"/>
      <c r="K27" s="405"/>
      <c r="L27" s="405"/>
      <c r="M27" s="405"/>
      <c r="N27" s="107"/>
    </row>
    <row r="28" spans="1:17" ht="12.75" customHeight="1" x14ac:dyDescent="0.2">
      <c r="A28" s="111"/>
      <c r="B28" s="404" t="s">
        <v>80</v>
      </c>
      <c r="C28" s="404"/>
      <c r="D28" s="404"/>
      <c r="E28" s="404"/>
      <c r="F28" s="404"/>
      <c r="G28" s="108"/>
      <c r="H28" s="110">
        <f>2.05*4</f>
        <v>8.1999999999999993</v>
      </c>
      <c r="I28" s="108" t="s">
        <v>77</v>
      </c>
      <c r="J28" s="405"/>
      <c r="K28" s="405"/>
      <c r="L28" s="405"/>
      <c r="M28" s="405"/>
      <c r="N28" s="107"/>
    </row>
    <row r="29" spans="1:17" ht="12.75" customHeight="1" x14ac:dyDescent="0.2">
      <c r="A29" s="111"/>
      <c r="B29" s="106"/>
      <c r="C29" s="106"/>
      <c r="D29" s="106"/>
      <c r="E29" s="112"/>
      <c r="F29" s="112"/>
      <c r="G29" s="112"/>
      <c r="H29" s="112"/>
      <c r="I29" s="112"/>
      <c r="J29" s="106"/>
      <c r="K29" s="106"/>
      <c r="L29" s="106"/>
      <c r="M29" s="113"/>
      <c r="N29" s="107"/>
      <c r="Q29" s="38">
        <f>1/60</f>
        <v>1.6666666666666666E-2</v>
      </c>
    </row>
    <row r="30" spans="1:17" ht="12.75" customHeight="1" x14ac:dyDescent="0.2">
      <c r="A30" s="114"/>
      <c r="B30" s="42"/>
      <c r="C30" s="42"/>
      <c r="D30" s="42"/>
      <c r="E30" s="115" t="s">
        <v>12</v>
      </c>
      <c r="F30" s="108"/>
      <c r="G30" s="108"/>
      <c r="H30" s="116">
        <f>ROUND(SUM(H20:H28),2)</f>
        <v>85.1</v>
      </c>
      <c r="I30" s="108" t="s">
        <v>77</v>
      </c>
      <c r="J30" s="42"/>
      <c r="K30" s="42"/>
      <c r="L30" s="42"/>
      <c r="M30" s="42"/>
      <c r="N30" s="117"/>
    </row>
    <row r="31" spans="1:17" ht="15.75" x14ac:dyDescent="0.25">
      <c r="A31" s="406" t="s">
        <v>81</v>
      </c>
      <c r="B31" s="407" t="s">
        <v>82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96"/>
    </row>
    <row r="32" spans="1:17" x14ac:dyDescent="0.2">
      <c r="A32" s="408" t="s">
        <v>73</v>
      </c>
      <c r="B32" s="409"/>
      <c r="C32" s="409"/>
      <c r="D32" s="409"/>
      <c r="E32" s="118">
        <f>E14*H30</f>
        <v>85.1</v>
      </c>
      <c r="F32" s="119" t="s">
        <v>83</v>
      </c>
      <c r="G32" s="120"/>
      <c r="H32" s="120"/>
      <c r="I32" s="120"/>
      <c r="J32" s="43"/>
      <c r="K32" s="120"/>
      <c r="L32" s="120"/>
      <c r="M32" s="120"/>
      <c r="N32" s="121"/>
    </row>
    <row r="33" spans="1:19" x14ac:dyDescent="0.2">
      <c r="A33" s="408" t="s">
        <v>74</v>
      </c>
      <c r="B33" s="409"/>
      <c r="C33" s="409"/>
      <c r="D33" s="409"/>
      <c r="E33" s="118">
        <f>E15*H30</f>
        <v>85.1</v>
      </c>
      <c r="F33" s="119" t="s">
        <v>83</v>
      </c>
      <c r="G33" s="120"/>
      <c r="H33" s="120"/>
      <c r="I33" s="120"/>
      <c r="J33" s="120"/>
      <c r="K33" s="120"/>
      <c r="L33" s="120"/>
      <c r="M33" s="120"/>
      <c r="N33" s="121"/>
    </row>
    <row r="34" spans="1:19" ht="13.5" thickBot="1" x14ac:dyDescent="0.25">
      <c r="A34" s="122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4"/>
    </row>
    <row r="35" spans="1:19" x14ac:dyDescent="0.2">
      <c r="A35" s="46"/>
    </row>
    <row r="36" spans="1:19" x14ac:dyDescent="0.2">
      <c r="A36" s="44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</row>
    <row r="39" spans="1:19" ht="14.25" x14ac:dyDescent="0.2">
      <c r="A39" s="47"/>
      <c r="B39" s="403"/>
      <c r="C39" s="403"/>
      <c r="D39" s="403"/>
      <c r="E39" s="403"/>
      <c r="F39" s="403"/>
      <c r="G39" s="403"/>
      <c r="H39" s="403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</row>
    <row r="40" spans="1:19" ht="14.25" x14ac:dyDescent="0.2">
      <c r="A40" s="47"/>
      <c r="B40" s="403"/>
      <c r="C40" s="403"/>
      <c r="D40" s="403"/>
      <c r="E40" s="403"/>
      <c r="F40" s="403"/>
      <c r="G40" s="403"/>
      <c r="H40" s="403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</row>
    <row r="41" spans="1:19" ht="14.25" x14ac:dyDescent="0.2">
      <c r="A41" s="49"/>
      <c r="B41" s="401"/>
      <c r="C41" s="401"/>
      <c r="D41" s="401"/>
      <c r="E41" s="401"/>
      <c r="F41" s="401"/>
      <c r="G41" s="401"/>
      <c r="H41" s="401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</row>
    <row r="42" spans="1:19" ht="14.25" x14ac:dyDescent="0.2">
      <c r="A42" s="47"/>
      <c r="B42" s="403"/>
      <c r="C42" s="403"/>
      <c r="D42" s="403"/>
      <c r="E42" s="403"/>
      <c r="F42" s="403"/>
      <c r="G42" s="403"/>
      <c r="H42" s="403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</row>
    <row r="43" spans="1:19" ht="14.25" x14ac:dyDescent="0.2">
      <c r="A43" s="49"/>
      <c r="B43" s="401"/>
      <c r="C43" s="401"/>
      <c r="D43" s="401"/>
      <c r="E43" s="401"/>
      <c r="F43" s="401"/>
      <c r="G43" s="401"/>
      <c r="H43" s="401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</row>
    <row r="44" spans="1:19" ht="14.25" x14ac:dyDescent="0.2">
      <c r="A44" s="47"/>
      <c r="B44" s="403"/>
      <c r="C44" s="403"/>
      <c r="D44" s="403"/>
      <c r="E44" s="403"/>
      <c r="F44" s="403"/>
      <c r="G44" s="403"/>
      <c r="H44" s="403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</row>
    <row r="45" spans="1:19" ht="14.25" x14ac:dyDescent="0.2">
      <c r="A45" s="49"/>
      <c r="B45" s="402"/>
      <c r="C45" s="402"/>
      <c r="D45" s="402"/>
      <c r="E45" s="402"/>
      <c r="F45" s="402"/>
      <c r="G45" s="402"/>
      <c r="H45" s="402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</row>
    <row r="46" spans="1:19" ht="14.25" x14ac:dyDescent="0.2">
      <c r="A46" s="49"/>
      <c r="B46" s="401"/>
      <c r="C46" s="401"/>
      <c r="D46" s="401"/>
      <c r="E46" s="401"/>
      <c r="F46" s="401"/>
      <c r="G46" s="401"/>
      <c r="H46" s="401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</row>
    <row r="47" spans="1:19" ht="14.25" x14ac:dyDescent="0.2">
      <c r="A47" s="49"/>
      <c r="B47" s="401"/>
      <c r="C47" s="401"/>
      <c r="D47" s="401"/>
      <c r="E47" s="401"/>
      <c r="F47" s="401"/>
      <c r="G47" s="401"/>
      <c r="H47" s="401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</row>
    <row r="48" spans="1:19" ht="14.25" x14ac:dyDescent="0.2">
      <c r="A48" s="49"/>
      <c r="B48" s="401"/>
      <c r="C48" s="401"/>
      <c r="D48" s="401"/>
      <c r="E48" s="401"/>
      <c r="F48" s="401"/>
      <c r="G48" s="401"/>
      <c r="H48" s="401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</row>
    <row r="49" spans="1:19" ht="14.25" x14ac:dyDescent="0.2">
      <c r="A49" s="49"/>
      <c r="B49" s="401"/>
      <c r="C49" s="401"/>
      <c r="D49" s="401"/>
      <c r="E49" s="401"/>
      <c r="F49" s="401"/>
      <c r="G49" s="401"/>
      <c r="H49" s="401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</row>
    <row r="50" spans="1:19" ht="14.25" x14ac:dyDescent="0.2">
      <c r="A50" s="49"/>
      <c r="B50" s="401"/>
      <c r="C50" s="401"/>
      <c r="D50" s="401"/>
      <c r="E50" s="401"/>
      <c r="F50" s="401"/>
      <c r="G50" s="401"/>
      <c r="H50" s="401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</row>
    <row r="51" spans="1:19" ht="14.25" x14ac:dyDescent="0.2">
      <c r="A51" s="49"/>
      <c r="B51" s="50"/>
      <c r="C51" s="50"/>
      <c r="D51" s="50"/>
      <c r="E51" s="50"/>
      <c r="F51" s="50"/>
      <c r="G51" s="50"/>
      <c r="H51" s="50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</row>
    <row r="52" spans="1:19" ht="14.25" x14ac:dyDescent="0.2">
      <c r="A52" s="49"/>
      <c r="B52" s="50"/>
      <c r="C52" s="50"/>
      <c r="D52" s="50"/>
      <c r="E52" s="50"/>
      <c r="F52" s="50"/>
      <c r="G52" s="50"/>
      <c r="H52" s="50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</row>
    <row r="53" spans="1:19" ht="14.25" x14ac:dyDescent="0.2">
      <c r="A53" s="47"/>
      <c r="B53" s="403"/>
      <c r="C53" s="403"/>
      <c r="D53" s="403"/>
      <c r="E53" s="403"/>
      <c r="F53" s="403"/>
      <c r="G53" s="403"/>
      <c r="H53" s="403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</row>
    <row r="54" spans="1:19" ht="14.25" x14ac:dyDescent="0.2">
      <c r="A54" s="49"/>
      <c r="B54" s="401"/>
      <c r="C54" s="401"/>
      <c r="D54" s="401"/>
      <c r="E54" s="401"/>
      <c r="F54" s="401"/>
      <c r="G54" s="401"/>
      <c r="H54" s="401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</row>
    <row r="55" spans="1:19" ht="14.25" x14ac:dyDescent="0.2">
      <c r="A55" s="47"/>
      <c r="B55" s="403"/>
      <c r="C55" s="403"/>
      <c r="D55" s="403"/>
      <c r="E55" s="403"/>
      <c r="F55" s="403"/>
      <c r="G55" s="403"/>
      <c r="H55" s="403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</row>
    <row r="56" spans="1:19" ht="14.25" x14ac:dyDescent="0.2">
      <c r="A56" s="49"/>
      <c r="B56" s="401"/>
      <c r="C56" s="401"/>
      <c r="D56" s="401"/>
      <c r="E56" s="401"/>
      <c r="F56" s="401"/>
      <c r="G56" s="401"/>
      <c r="H56" s="401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</row>
    <row r="57" spans="1:19" ht="14.25" x14ac:dyDescent="0.2">
      <c r="A57" s="49"/>
      <c r="B57" s="401"/>
      <c r="C57" s="401"/>
      <c r="D57" s="401"/>
      <c r="E57" s="401"/>
      <c r="F57" s="401"/>
      <c r="G57" s="401"/>
      <c r="H57" s="401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</row>
    <row r="58" spans="1:19" ht="14.25" x14ac:dyDescent="0.2">
      <c r="A58" s="49"/>
      <c r="B58" s="401"/>
      <c r="C58" s="401"/>
      <c r="D58" s="401"/>
      <c r="E58" s="401"/>
      <c r="F58" s="401"/>
      <c r="G58" s="401"/>
      <c r="H58" s="401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</row>
    <row r="59" spans="1:19" ht="14.25" x14ac:dyDescent="0.2">
      <c r="A59" s="49"/>
      <c r="B59" s="401"/>
      <c r="C59" s="401"/>
      <c r="D59" s="401"/>
      <c r="E59" s="401"/>
      <c r="F59" s="401"/>
      <c r="G59" s="401"/>
      <c r="H59" s="401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</row>
    <row r="60" spans="1:19" ht="14.25" x14ac:dyDescent="0.2">
      <c r="A60" s="49"/>
      <c r="B60" s="401"/>
      <c r="C60" s="401"/>
      <c r="D60" s="401"/>
      <c r="E60" s="401"/>
      <c r="F60" s="401"/>
      <c r="G60" s="401"/>
      <c r="H60" s="401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</row>
    <row r="61" spans="1:19" ht="14.25" x14ac:dyDescent="0.2">
      <c r="A61" s="49"/>
      <c r="B61" s="50"/>
      <c r="C61" s="50"/>
      <c r="D61" s="50"/>
      <c r="E61" s="50"/>
      <c r="F61" s="50"/>
      <c r="G61" s="50"/>
      <c r="H61" s="50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</row>
    <row r="62" spans="1:19" ht="14.25" x14ac:dyDescent="0.2">
      <c r="A62" s="51"/>
      <c r="B62" s="399"/>
      <c r="C62" s="399"/>
      <c r="D62" s="399"/>
      <c r="E62" s="399"/>
      <c r="F62" s="399"/>
      <c r="G62" s="399"/>
      <c r="H62" s="399"/>
      <c r="I62" s="52"/>
      <c r="J62" s="48"/>
      <c r="K62" s="48"/>
      <c r="L62" s="48"/>
      <c r="M62" s="48"/>
      <c r="N62" s="48"/>
      <c r="O62" s="48"/>
      <c r="P62" s="48"/>
      <c r="Q62" s="48"/>
      <c r="R62" s="48"/>
      <c r="S62" s="48"/>
    </row>
    <row r="63" spans="1:19" ht="14.25" x14ac:dyDescent="0.2">
      <c r="A63" s="51"/>
      <c r="B63" s="400"/>
      <c r="C63" s="400"/>
      <c r="D63" s="400"/>
      <c r="E63" s="400"/>
      <c r="F63" s="400"/>
      <c r="G63" s="400"/>
      <c r="H63" s="400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</row>
    <row r="64" spans="1:19" ht="14.25" x14ac:dyDescent="0.2">
      <c r="A64" s="51"/>
      <c r="B64" s="399"/>
      <c r="C64" s="399"/>
      <c r="D64" s="399"/>
      <c r="E64" s="399"/>
      <c r="F64" s="399"/>
      <c r="G64" s="399"/>
      <c r="H64" s="399"/>
      <c r="I64" s="52"/>
      <c r="J64" s="48"/>
      <c r="K64" s="48"/>
      <c r="L64" s="48"/>
      <c r="M64" s="48"/>
      <c r="N64" s="48"/>
      <c r="O64" s="48"/>
      <c r="P64" s="48"/>
      <c r="Q64" s="48"/>
      <c r="R64" s="48"/>
      <c r="S64" s="48"/>
    </row>
    <row r="65" spans="1:61" ht="15" x14ac:dyDescent="0.25">
      <c r="A65" s="51"/>
      <c r="B65" s="400"/>
      <c r="C65" s="400"/>
      <c r="D65" s="400"/>
      <c r="E65" s="400"/>
      <c r="F65" s="400"/>
      <c r="G65" s="400"/>
      <c r="H65" s="400"/>
      <c r="I65" s="52"/>
      <c r="J65" s="48"/>
      <c r="K65" s="48"/>
      <c r="L65" s="48"/>
      <c r="M65" s="48"/>
      <c r="N65" s="48"/>
      <c r="O65" s="48"/>
      <c r="P65" s="48"/>
      <c r="Q65" s="48"/>
      <c r="R65" s="48"/>
      <c r="S65" s="48"/>
      <c r="BI65" s="53"/>
    </row>
    <row r="66" spans="1:61" ht="14.25" x14ac:dyDescent="0.2">
      <c r="A66" s="51"/>
      <c r="B66" s="399"/>
      <c r="C66" s="399"/>
      <c r="D66" s="399"/>
      <c r="E66" s="399"/>
      <c r="F66" s="399"/>
      <c r="G66" s="399"/>
      <c r="H66" s="399"/>
      <c r="I66" s="52"/>
      <c r="J66" s="48"/>
      <c r="K66" s="48"/>
      <c r="L66" s="48"/>
      <c r="M66" s="48"/>
      <c r="N66" s="48"/>
      <c r="O66" s="48"/>
      <c r="P66" s="48"/>
      <c r="Q66" s="48"/>
      <c r="R66" s="48"/>
      <c r="S66" s="48"/>
    </row>
    <row r="67" spans="1:61" ht="14.25" x14ac:dyDescent="0.2">
      <c r="A67" s="51"/>
      <c r="B67" s="399"/>
      <c r="C67" s="399"/>
      <c r="D67" s="399"/>
      <c r="E67" s="399"/>
      <c r="F67" s="399"/>
      <c r="G67" s="399"/>
      <c r="H67" s="399"/>
      <c r="I67" s="52"/>
      <c r="J67" s="48"/>
      <c r="K67" s="48"/>
      <c r="L67" s="48"/>
      <c r="M67" s="48"/>
      <c r="N67" s="48"/>
      <c r="O67" s="48"/>
      <c r="P67" s="48"/>
      <c r="Q67" s="48"/>
      <c r="R67" s="48"/>
      <c r="S67" s="48"/>
    </row>
    <row r="68" spans="1:61" ht="14.25" x14ac:dyDescent="0.2">
      <c r="A68" s="51"/>
      <c r="B68" s="400"/>
      <c r="C68" s="400"/>
      <c r="D68" s="400"/>
      <c r="E68" s="400"/>
      <c r="F68" s="400"/>
      <c r="G68" s="400"/>
      <c r="H68" s="400"/>
      <c r="I68" s="52"/>
      <c r="J68" s="48"/>
      <c r="K68" s="48"/>
      <c r="L68" s="48"/>
      <c r="M68" s="48"/>
      <c r="N68" s="48"/>
      <c r="O68" s="48"/>
      <c r="P68" s="48"/>
      <c r="Q68" s="48"/>
      <c r="R68" s="48"/>
      <c r="S68" s="48"/>
    </row>
    <row r="69" spans="1:61" ht="14.25" x14ac:dyDescent="0.2">
      <c r="A69" s="51"/>
      <c r="B69" s="399"/>
      <c r="C69" s="399"/>
      <c r="D69" s="399"/>
      <c r="E69" s="399"/>
      <c r="F69" s="399"/>
      <c r="G69" s="399"/>
      <c r="H69" s="399"/>
      <c r="I69" s="52"/>
      <c r="J69" s="48"/>
      <c r="K69" s="48"/>
      <c r="L69" s="48"/>
      <c r="M69" s="48"/>
      <c r="N69" s="48"/>
      <c r="O69" s="48"/>
      <c r="P69" s="48"/>
      <c r="Q69" s="48"/>
      <c r="R69" s="48"/>
      <c r="S69" s="48"/>
    </row>
  </sheetData>
  <mergeCells count="54">
    <mergeCell ref="A18:B18"/>
    <mergeCell ref="A2:N2"/>
    <mergeCell ref="A3:N3"/>
    <mergeCell ref="A4:N4"/>
    <mergeCell ref="A5:N5"/>
    <mergeCell ref="A7:N8"/>
    <mergeCell ref="A10:B10"/>
    <mergeCell ref="A12:B12"/>
    <mergeCell ref="A13:B13"/>
    <mergeCell ref="A14:D14"/>
    <mergeCell ref="A15:D15"/>
    <mergeCell ref="A17:N17"/>
    <mergeCell ref="B20:F20"/>
    <mergeCell ref="J20:M26"/>
    <mergeCell ref="B21:F21"/>
    <mergeCell ref="B22:F22"/>
    <mergeCell ref="B23:F23"/>
    <mergeCell ref="B24:F24"/>
    <mergeCell ref="B25:F25"/>
    <mergeCell ref="B26:F26"/>
    <mergeCell ref="B44:H44"/>
    <mergeCell ref="B27:F27"/>
    <mergeCell ref="J27:M28"/>
    <mergeCell ref="B28:F28"/>
    <mergeCell ref="A31:B31"/>
    <mergeCell ref="A32:D32"/>
    <mergeCell ref="A33:D33"/>
    <mergeCell ref="B39:H39"/>
    <mergeCell ref="B40:H40"/>
    <mergeCell ref="B41:H41"/>
    <mergeCell ref="B42:H42"/>
    <mergeCell ref="B43:H43"/>
    <mergeCell ref="B58:H58"/>
    <mergeCell ref="B45:H45"/>
    <mergeCell ref="B46:H46"/>
    <mergeCell ref="B47:H47"/>
    <mergeCell ref="B48:H48"/>
    <mergeCell ref="B49:H49"/>
    <mergeCell ref="B50:H50"/>
    <mergeCell ref="B53:H53"/>
    <mergeCell ref="B54:H54"/>
    <mergeCell ref="B55:H55"/>
    <mergeCell ref="B56:H56"/>
    <mergeCell ref="B57:H57"/>
    <mergeCell ref="B66:H66"/>
    <mergeCell ref="B67:H67"/>
    <mergeCell ref="B68:H68"/>
    <mergeCell ref="B69:H69"/>
    <mergeCell ref="B59:H59"/>
    <mergeCell ref="B60:H60"/>
    <mergeCell ref="B62:H62"/>
    <mergeCell ref="B63:H63"/>
    <mergeCell ref="B64:H64"/>
    <mergeCell ref="B65:H65"/>
  </mergeCells>
  <printOptions horizontalCentered="1"/>
  <pageMargins left="0.51181102362204722" right="0.51181102362204722" top="0.98425196850393704" bottom="0.98425196850393704" header="0.51181102362204722" footer="0.51181102362204722"/>
  <pageSetup paperSize="9" scale="72" orientation="landscape" r:id="rId1"/>
  <headerFooter>
    <oddHeader xml:space="preserve">&amp;L &amp;CCompanhia de Desenvolvimento dos Vales do São Francisco e do Parnaíba
</oddHeader>
    <oddFooter xml:space="preserve">&amp;L &amp;CCODEVASF -  6ªSR Juazeiro / BA
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V35"/>
  <sheetViews>
    <sheetView tabSelected="1" view="pageBreakPreview" zoomScaleNormal="100" zoomScaleSheetLayoutView="100" workbookViewId="0">
      <selection activeCell="E4" sqref="E4"/>
    </sheetView>
  </sheetViews>
  <sheetFormatPr defaultColWidth="14.375" defaultRowHeight="12.75" x14ac:dyDescent="0.2"/>
  <cols>
    <col min="1" max="1" width="14.375" style="5"/>
    <col min="2" max="2" width="14.375" style="37"/>
    <col min="3" max="16384" width="14.375" style="5"/>
  </cols>
  <sheetData>
    <row r="1" spans="1:256" x14ac:dyDescent="0.2">
      <c r="A1" s="1"/>
      <c r="B1" s="2"/>
      <c r="C1" s="3"/>
      <c r="D1" s="3"/>
      <c r="E1" s="3"/>
      <c r="F1" s="3"/>
      <c r="G1" s="4"/>
    </row>
    <row r="2" spans="1:256" ht="23.25" x14ac:dyDescent="0.35">
      <c r="A2" s="323"/>
      <c r="B2" s="324"/>
      <c r="C2" s="335"/>
      <c r="D2" s="335"/>
      <c r="E2" s="325"/>
      <c r="F2" s="325"/>
      <c r="G2" s="326"/>
    </row>
    <row r="3" spans="1:256" x14ac:dyDescent="0.2">
      <c r="A3" s="6"/>
      <c r="B3" s="7"/>
      <c r="C3" s="8"/>
      <c r="D3" s="8"/>
      <c r="E3" s="8"/>
      <c r="F3" s="8"/>
      <c r="G3" s="9"/>
    </row>
    <row r="4" spans="1:256" ht="15" customHeight="1" x14ac:dyDescent="0.25">
      <c r="A4" s="441" t="s">
        <v>58</v>
      </c>
      <c r="B4" s="442"/>
      <c r="C4" s="442"/>
      <c r="D4" s="442"/>
      <c r="E4" s="442"/>
      <c r="F4" s="442"/>
      <c r="G4" s="443"/>
      <c r="H4" s="10"/>
    </row>
    <row r="5" spans="1:256" ht="30" customHeight="1" x14ac:dyDescent="0.25">
      <c r="A5" s="444" t="s">
        <v>444</v>
      </c>
      <c r="B5" s="445"/>
      <c r="C5" s="445"/>
      <c r="D5" s="445"/>
      <c r="E5" s="445"/>
      <c r="F5" s="445"/>
      <c r="G5" s="446"/>
      <c r="H5" s="11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  <c r="IV5" s="12"/>
    </row>
    <row r="6" spans="1:256" ht="15" customHeight="1" x14ac:dyDescent="0.25">
      <c r="A6" s="447" t="s">
        <v>692</v>
      </c>
      <c r="B6" s="448"/>
      <c r="C6" s="448"/>
      <c r="D6" s="448"/>
      <c r="E6" s="448"/>
      <c r="F6" s="448"/>
      <c r="G6" s="449"/>
      <c r="H6" s="13"/>
      <c r="I6" s="14"/>
      <c r="J6" s="14"/>
      <c r="K6" s="14"/>
      <c r="L6" s="14"/>
      <c r="M6" s="14"/>
      <c r="N6" s="14"/>
      <c r="O6" s="14"/>
      <c r="P6" s="14"/>
      <c r="Q6" s="435"/>
      <c r="R6" s="435"/>
      <c r="S6" s="435"/>
      <c r="T6" s="435"/>
      <c r="U6" s="435"/>
      <c r="V6" s="435"/>
      <c r="W6" s="435"/>
      <c r="X6" s="435"/>
      <c r="Y6" s="435"/>
      <c r="Z6" s="435"/>
      <c r="AA6" s="435"/>
      <c r="AB6" s="435"/>
      <c r="AC6" s="435"/>
      <c r="AD6" s="435"/>
      <c r="AE6" s="435"/>
      <c r="AF6" s="435"/>
      <c r="AG6" s="435"/>
      <c r="AH6" s="435"/>
      <c r="AI6" s="435"/>
      <c r="AJ6" s="435"/>
      <c r="AK6" s="435"/>
      <c r="AL6" s="435"/>
      <c r="AM6" s="435"/>
      <c r="AN6" s="435"/>
      <c r="AO6" s="435"/>
      <c r="AP6" s="435"/>
      <c r="AQ6" s="435"/>
      <c r="AR6" s="435"/>
      <c r="AS6" s="435"/>
      <c r="AT6" s="435"/>
      <c r="AU6" s="435"/>
      <c r="AV6" s="435"/>
      <c r="AW6" s="435"/>
      <c r="AX6" s="435"/>
      <c r="AY6" s="435"/>
      <c r="AZ6" s="435"/>
      <c r="BA6" s="435"/>
      <c r="BB6" s="435"/>
      <c r="BC6" s="435"/>
      <c r="BD6" s="435"/>
      <c r="BE6" s="435"/>
      <c r="BF6" s="435"/>
      <c r="BG6" s="435"/>
      <c r="BH6" s="435"/>
      <c r="BI6" s="435"/>
      <c r="BJ6" s="435"/>
      <c r="BK6" s="435"/>
      <c r="BL6" s="435"/>
      <c r="BM6" s="435"/>
      <c r="BN6" s="435"/>
      <c r="BO6" s="435"/>
      <c r="BP6" s="435"/>
      <c r="BQ6" s="435"/>
      <c r="BR6" s="435"/>
      <c r="BS6" s="435"/>
      <c r="BT6" s="435"/>
      <c r="BU6" s="435"/>
      <c r="BV6" s="435"/>
      <c r="BW6" s="435"/>
      <c r="BX6" s="435"/>
      <c r="BY6" s="435"/>
      <c r="BZ6" s="435"/>
      <c r="CA6" s="435"/>
      <c r="CB6" s="435"/>
      <c r="CC6" s="435"/>
      <c r="CD6" s="435"/>
      <c r="CE6" s="435"/>
      <c r="CF6" s="435"/>
      <c r="CG6" s="435"/>
      <c r="CH6" s="435"/>
      <c r="CI6" s="435"/>
      <c r="CJ6" s="435"/>
      <c r="CK6" s="435"/>
      <c r="CL6" s="435"/>
      <c r="CM6" s="435"/>
      <c r="CN6" s="435"/>
      <c r="CO6" s="435"/>
      <c r="CP6" s="435"/>
      <c r="CQ6" s="435"/>
      <c r="CR6" s="435"/>
      <c r="CS6" s="435"/>
      <c r="CT6" s="435"/>
      <c r="CU6" s="435"/>
      <c r="CV6" s="435"/>
      <c r="CW6" s="435"/>
      <c r="CX6" s="435"/>
      <c r="CY6" s="435"/>
      <c r="CZ6" s="435"/>
      <c r="DA6" s="435"/>
      <c r="DB6" s="435"/>
      <c r="DC6" s="435"/>
      <c r="DD6" s="435"/>
      <c r="DE6" s="435"/>
      <c r="DF6" s="435"/>
      <c r="DG6" s="435"/>
      <c r="DH6" s="435"/>
      <c r="DI6" s="435"/>
      <c r="DJ6" s="435"/>
      <c r="DK6" s="435"/>
      <c r="DL6" s="435"/>
      <c r="DM6" s="435"/>
      <c r="DN6" s="435"/>
      <c r="DO6" s="435"/>
      <c r="DP6" s="435"/>
      <c r="DQ6" s="435"/>
      <c r="DR6" s="435"/>
      <c r="DS6" s="435"/>
      <c r="DT6" s="435"/>
      <c r="DU6" s="435"/>
      <c r="DV6" s="435"/>
      <c r="DW6" s="435"/>
      <c r="DX6" s="435"/>
      <c r="DY6" s="435"/>
      <c r="DZ6" s="435"/>
      <c r="EA6" s="435"/>
      <c r="EB6" s="435"/>
      <c r="EC6" s="435"/>
      <c r="ED6" s="435"/>
      <c r="EE6" s="435"/>
      <c r="EF6" s="435"/>
      <c r="EG6" s="435"/>
      <c r="EH6" s="435"/>
      <c r="EI6" s="435"/>
      <c r="EJ6" s="435"/>
      <c r="EK6" s="435"/>
      <c r="EL6" s="435"/>
      <c r="EM6" s="435"/>
      <c r="EN6" s="435"/>
      <c r="EO6" s="435"/>
      <c r="EP6" s="435"/>
      <c r="EQ6" s="435"/>
      <c r="ER6" s="435"/>
      <c r="ES6" s="435"/>
      <c r="ET6" s="435"/>
      <c r="EU6" s="435"/>
      <c r="EV6" s="435"/>
      <c r="EW6" s="435"/>
      <c r="EX6" s="435"/>
      <c r="EY6" s="435"/>
      <c r="EZ6" s="435"/>
      <c r="FA6" s="435"/>
      <c r="FB6" s="435"/>
      <c r="FC6" s="435"/>
      <c r="FD6" s="435"/>
      <c r="FE6" s="435"/>
      <c r="FF6" s="435"/>
      <c r="FG6" s="435"/>
      <c r="FH6" s="435"/>
      <c r="FI6" s="435"/>
      <c r="FJ6" s="435"/>
      <c r="FK6" s="435"/>
      <c r="FL6" s="435"/>
      <c r="FM6" s="435"/>
      <c r="FN6" s="435"/>
      <c r="FO6" s="435"/>
      <c r="FP6" s="435"/>
      <c r="FQ6" s="435"/>
      <c r="FR6" s="435"/>
      <c r="FS6" s="435"/>
      <c r="FT6" s="435"/>
      <c r="FU6" s="435"/>
      <c r="FV6" s="435"/>
      <c r="FW6" s="435"/>
      <c r="FX6" s="435"/>
      <c r="FY6" s="435"/>
      <c r="FZ6" s="435"/>
      <c r="GA6" s="435"/>
      <c r="GB6" s="435"/>
      <c r="GC6" s="435"/>
      <c r="GD6" s="435"/>
      <c r="GE6" s="435"/>
      <c r="GF6" s="435"/>
      <c r="GG6" s="435"/>
      <c r="GH6" s="435"/>
      <c r="GI6" s="435"/>
      <c r="GJ6" s="435"/>
      <c r="GK6" s="435"/>
      <c r="GL6" s="435"/>
      <c r="GM6" s="435"/>
      <c r="GN6" s="435"/>
      <c r="GO6" s="435"/>
      <c r="GP6" s="435"/>
      <c r="GQ6" s="435"/>
      <c r="GR6" s="435"/>
      <c r="GS6" s="435"/>
      <c r="GT6" s="435"/>
      <c r="GU6" s="435"/>
      <c r="GV6" s="435"/>
      <c r="GW6" s="435"/>
      <c r="GX6" s="435"/>
      <c r="GY6" s="435"/>
      <c r="GZ6" s="435"/>
      <c r="HA6" s="435"/>
      <c r="HB6" s="435"/>
      <c r="HC6" s="435"/>
      <c r="HD6" s="435"/>
      <c r="HE6" s="435"/>
      <c r="HF6" s="435"/>
      <c r="HG6" s="435"/>
      <c r="HH6" s="435"/>
      <c r="HI6" s="435"/>
      <c r="HJ6" s="435"/>
      <c r="HK6" s="435"/>
      <c r="HL6" s="435"/>
      <c r="HM6" s="435"/>
      <c r="HN6" s="435"/>
      <c r="HO6" s="435"/>
      <c r="HP6" s="435"/>
      <c r="HQ6" s="435"/>
      <c r="HR6" s="435"/>
      <c r="HS6" s="435"/>
      <c r="HT6" s="435"/>
      <c r="HU6" s="435"/>
      <c r="HV6" s="435"/>
      <c r="HW6" s="435"/>
      <c r="HX6" s="435"/>
      <c r="HY6" s="435"/>
      <c r="HZ6" s="435"/>
      <c r="IA6" s="435"/>
      <c r="IB6" s="435"/>
      <c r="IC6" s="435"/>
      <c r="ID6" s="435"/>
      <c r="IE6" s="435"/>
      <c r="IF6" s="435"/>
      <c r="IG6" s="435"/>
      <c r="IH6" s="435"/>
      <c r="II6" s="435"/>
      <c r="IJ6" s="435"/>
      <c r="IK6" s="435"/>
      <c r="IL6" s="435"/>
      <c r="IM6" s="435"/>
      <c r="IN6" s="435"/>
      <c r="IO6" s="435"/>
      <c r="IP6" s="435"/>
      <c r="IQ6" s="435"/>
      <c r="IR6" s="435"/>
      <c r="IS6" s="435"/>
      <c r="IT6" s="435"/>
      <c r="IU6" s="435"/>
      <c r="IV6" s="435"/>
    </row>
    <row r="7" spans="1:256" x14ac:dyDescent="0.2">
      <c r="A7" s="6"/>
      <c r="B7" s="15"/>
      <c r="C7" s="8"/>
      <c r="D7" s="8"/>
      <c r="E7" s="8"/>
      <c r="F7" s="8"/>
      <c r="G7" s="9"/>
    </row>
    <row r="8" spans="1:256" ht="15.75" x14ac:dyDescent="0.25">
      <c r="A8" s="436" t="s">
        <v>59</v>
      </c>
      <c r="B8" s="437"/>
      <c r="C8" s="437"/>
      <c r="D8" s="437"/>
      <c r="E8" s="437"/>
      <c r="F8" s="437"/>
      <c r="G8" s="438"/>
      <c r="H8" s="16"/>
    </row>
    <row r="9" spans="1:256" x14ac:dyDescent="0.2">
      <c r="A9" s="6"/>
      <c r="B9" s="7"/>
      <c r="C9" s="17"/>
      <c r="D9" s="18"/>
      <c r="E9" s="8"/>
      <c r="F9" s="8"/>
      <c r="G9" s="9"/>
    </row>
    <row r="10" spans="1:256" s="10" customFormat="1" ht="15" x14ac:dyDescent="0.25">
      <c r="A10" s="19" t="s">
        <v>691</v>
      </c>
      <c r="B10" s="20"/>
      <c r="C10" s="21"/>
      <c r="D10" s="21"/>
      <c r="E10" s="21"/>
      <c r="F10" s="21"/>
      <c r="G10" s="22"/>
    </row>
    <row r="11" spans="1:256" s="10" customFormat="1" ht="15" x14ac:dyDescent="0.25">
      <c r="A11" s="19"/>
      <c r="B11" s="20"/>
      <c r="C11" s="21"/>
      <c r="D11" s="21"/>
      <c r="E11" s="21"/>
      <c r="F11" s="21"/>
      <c r="G11" s="22"/>
    </row>
    <row r="12" spans="1:256" ht="15.75" x14ac:dyDescent="0.25">
      <c r="A12" s="23" t="s">
        <v>60</v>
      </c>
      <c r="B12" s="439" t="s">
        <v>61</v>
      </c>
      <c r="C12" s="440"/>
      <c r="D12" s="24" t="s">
        <v>9</v>
      </c>
      <c r="E12" s="25" t="s">
        <v>62</v>
      </c>
      <c r="F12" s="25" t="s">
        <v>63</v>
      </c>
      <c r="G12" s="26" t="s">
        <v>64</v>
      </c>
    </row>
    <row r="13" spans="1:256" ht="15" x14ac:dyDescent="0.25">
      <c r="A13" s="27" t="s">
        <v>664</v>
      </c>
      <c r="B13" s="431" t="s">
        <v>666</v>
      </c>
      <c r="C13" s="432"/>
      <c r="D13" s="28" t="s">
        <v>668</v>
      </c>
      <c r="E13" s="29">
        <v>3.7706300000000001</v>
      </c>
      <c r="F13" s="30">
        <f>TRUNC(((E13)/(1-18/100)),2)</f>
        <v>4.59</v>
      </c>
      <c r="G13" s="31">
        <f>TRUNC(F13*1.15,2)</f>
        <v>5.27</v>
      </c>
    </row>
    <row r="14" spans="1:256" ht="15" x14ac:dyDescent="0.25">
      <c r="A14" s="27" t="s">
        <v>665</v>
      </c>
      <c r="B14" s="431" t="s">
        <v>667</v>
      </c>
      <c r="C14" s="432"/>
      <c r="D14" s="28" t="s">
        <v>668</v>
      </c>
      <c r="E14" s="29">
        <v>4.1962200000000003</v>
      </c>
      <c r="F14" s="30">
        <f>TRUNC(((E14)/(1-18/100)),2)</f>
        <v>5.1100000000000003</v>
      </c>
      <c r="G14" s="31">
        <f>TRUNC(F14*1.15,2)</f>
        <v>5.87</v>
      </c>
    </row>
    <row r="15" spans="1:256" x14ac:dyDescent="0.2">
      <c r="A15" s="433" t="s">
        <v>65</v>
      </c>
      <c r="B15" s="434"/>
      <c r="C15" s="8"/>
      <c r="D15" s="8"/>
      <c r="E15" s="32"/>
      <c r="F15" s="32"/>
      <c r="G15" s="9"/>
    </row>
    <row r="16" spans="1:256" x14ac:dyDescent="0.2">
      <c r="A16" s="6"/>
      <c r="B16" s="7"/>
      <c r="C16" s="8"/>
      <c r="D16" s="8"/>
      <c r="E16" s="8"/>
      <c r="F16" s="8"/>
      <c r="G16" s="9"/>
    </row>
    <row r="17" spans="1:7" x14ac:dyDescent="0.2">
      <c r="A17" s="6"/>
      <c r="B17" s="7"/>
      <c r="C17" s="8"/>
      <c r="D17" s="8"/>
      <c r="E17" s="8"/>
      <c r="F17" s="8"/>
      <c r="G17" s="9"/>
    </row>
    <row r="18" spans="1:7" x14ac:dyDescent="0.2">
      <c r="A18" s="6"/>
      <c r="B18" s="7"/>
      <c r="C18" s="8"/>
      <c r="D18" s="8"/>
      <c r="E18" s="8"/>
      <c r="F18" s="8"/>
      <c r="G18" s="9"/>
    </row>
    <row r="19" spans="1:7" x14ac:dyDescent="0.2">
      <c r="A19" s="6"/>
      <c r="B19" s="7"/>
      <c r="C19" s="8"/>
      <c r="D19" s="8"/>
      <c r="E19" s="8"/>
      <c r="F19" s="8"/>
      <c r="G19" s="9"/>
    </row>
    <row r="20" spans="1:7" x14ac:dyDescent="0.2">
      <c r="A20" s="6"/>
      <c r="B20" s="7"/>
      <c r="C20" s="8"/>
      <c r="D20" s="8"/>
      <c r="E20" s="8"/>
      <c r="F20" s="8"/>
      <c r="G20" s="9"/>
    </row>
    <row r="21" spans="1:7" x14ac:dyDescent="0.2">
      <c r="A21" s="6"/>
      <c r="B21" s="7"/>
      <c r="C21" s="8"/>
      <c r="D21" s="8"/>
      <c r="E21" s="8"/>
      <c r="F21" s="8"/>
      <c r="G21" s="9"/>
    </row>
    <row r="22" spans="1:7" x14ac:dyDescent="0.2">
      <c r="A22" s="6"/>
      <c r="B22" s="7"/>
      <c r="C22" s="8"/>
      <c r="D22" s="8"/>
      <c r="E22" s="8"/>
      <c r="F22" s="8"/>
      <c r="G22" s="9"/>
    </row>
    <row r="23" spans="1:7" x14ac:dyDescent="0.2">
      <c r="A23" s="6"/>
      <c r="B23" s="7"/>
      <c r="C23" s="8"/>
      <c r="D23" s="8"/>
      <c r="E23" s="8"/>
      <c r="F23" s="8"/>
      <c r="G23" s="9"/>
    </row>
    <row r="24" spans="1:7" x14ac:dyDescent="0.2">
      <c r="A24" s="6"/>
      <c r="B24" s="7"/>
      <c r="C24" s="8"/>
      <c r="D24" s="8"/>
      <c r="E24" s="8"/>
      <c r="F24" s="8"/>
      <c r="G24" s="9"/>
    </row>
    <row r="25" spans="1:7" x14ac:dyDescent="0.2">
      <c r="A25" s="6"/>
      <c r="B25" s="7"/>
      <c r="C25" s="8"/>
      <c r="D25" s="8"/>
      <c r="E25" s="8"/>
      <c r="F25" s="8"/>
      <c r="G25" s="9"/>
    </row>
    <row r="26" spans="1:7" x14ac:dyDescent="0.2">
      <c r="A26" s="6"/>
      <c r="B26" s="7"/>
      <c r="C26" s="8"/>
      <c r="D26" s="8"/>
      <c r="E26" s="8"/>
      <c r="F26" s="8"/>
      <c r="G26" s="9"/>
    </row>
    <row r="27" spans="1:7" x14ac:dyDescent="0.2">
      <c r="A27" s="6"/>
      <c r="B27" s="7"/>
      <c r="C27" s="8"/>
      <c r="D27" s="8"/>
      <c r="E27" s="8"/>
      <c r="F27" s="8"/>
      <c r="G27" s="9"/>
    </row>
    <row r="28" spans="1:7" x14ac:dyDescent="0.2">
      <c r="A28" s="6"/>
      <c r="B28" s="7"/>
      <c r="C28" s="8"/>
      <c r="D28" s="8"/>
      <c r="E28" s="8"/>
      <c r="F28" s="8"/>
      <c r="G28" s="9"/>
    </row>
    <row r="29" spans="1:7" x14ac:dyDescent="0.2">
      <c r="A29" s="6"/>
      <c r="B29" s="7"/>
      <c r="C29" s="8"/>
      <c r="D29" s="8"/>
      <c r="E29" s="8"/>
      <c r="F29" s="8"/>
      <c r="G29" s="9"/>
    </row>
    <row r="30" spans="1:7" x14ac:dyDescent="0.2">
      <c r="A30" s="6"/>
      <c r="B30" s="7"/>
      <c r="C30" s="8"/>
      <c r="D30" s="8"/>
      <c r="E30" s="8"/>
      <c r="F30" s="8"/>
      <c r="G30" s="9"/>
    </row>
    <row r="31" spans="1:7" x14ac:dyDescent="0.2">
      <c r="A31" s="6"/>
      <c r="B31" s="7"/>
      <c r="C31" s="8"/>
      <c r="D31" s="8"/>
      <c r="E31" s="8"/>
      <c r="F31" s="8"/>
      <c r="G31" s="9"/>
    </row>
    <row r="32" spans="1:7" x14ac:dyDescent="0.2">
      <c r="A32" s="6"/>
      <c r="B32" s="7"/>
      <c r="C32" s="8"/>
      <c r="D32" s="8"/>
      <c r="E32" s="8"/>
      <c r="F32" s="8"/>
      <c r="G32" s="9"/>
    </row>
    <row r="33" spans="1:7" x14ac:dyDescent="0.2">
      <c r="A33" s="6"/>
      <c r="B33" s="7"/>
      <c r="C33" s="8"/>
      <c r="D33" s="8"/>
      <c r="E33" s="8"/>
      <c r="F33" s="8"/>
      <c r="G33" s="9"/>
    </row>
    <row r="34" spans="1:7" x14ac:dyDescent="0.2">
      <c r="A34" s="6"/>
      <c r="B34" s="7"/>
      <c r="C34" s="8"/>
      <c r="D34" s="8"/>
      <c r="E34" s="8"/>
      <c r="F34" s="8"/>
      <c r="G34" s="9"/>
    </row>
    <row r="35" spans="1:7" ht="13.5" thickBot="1" x14ac:dyDescent="0.25">
      <c r="A35" s="33"/>
      <c r="B35" s="34"/>
      <c r="C35" s="35"/>
      <c r="D35" s="35"/>
      <c r="E35" s="35"/>
      <c r="F35" s="35"/>
      <c r="G35" s="36"/>
    </row>
  </sheetData>
  <mergeCells count="38">
    <mergeCell ref="BU6:CB6"/>
    <mergeCell ref="A4:G4"/>
    <mergeCell ref="A5:G5"/>
    <mergeCell ref="A6:G6"/>
    <mergeCell ref="Q6:X6"/>
    <mergeCell ref="Y6:AF6"/>
    <mergeCell ref="IO6:IV6"/>
    <mergeCell ref="A8:G8"/>
    <mergeCell ref="B12:C12"/>
    <mergeCell ref="GC6:GJ6"/>
    <mergeCell ref="GK6:GR6"/>
    <mergeCell ref="GS6:GZ6"/>
    <mergeCell ref="HA6:HH6"/>
    <mergeCell ref="HI6:HP6"/>
    <mergeCell ref="HQ6:HX6"/>
    <mergeCell ref="EG6:EN6"/>
    <mergeCell ref="EO6:EV6"/>
    <mergeCell ref="EW6:FD6"/>
    <mergeCell ref="FE6:FL6"/>
    <mergeCell ref="FM6:FT6"/>
    <mergeCell ref="FU6:GB6"/>
    <mergeCell ref="CK6:CR6"/>
    <mergeCell ref="B13:C13"/>
    <mergeCell ref="B14:C14"/>
    <mergeCell ref="A15:B15"/>
    <mergeCell ref="HY6:IF6"/>
    <mergeCell ref="IG6:IN6"/>
    <mergeCell ref="CS6:CZ6"/>
    <mergeCell ref="DA6:DH6"/>
    <mergeCell ref="DI6:DP6"/>
    <mergeCell ref="DQ6:DX6"/>
    <mergeCell ref="DY6:EF6"/>
    <mergeCell ref="CC6:CJ6"/>
    <mergeCell ref="AG6:AN6"/>
    <mergeCell ref="AO6:AV6"/>
    <mergeCell ref="AW6:BD6"/>
    <mergeCell ref="BE6:BL6"/>
    <mergeCell ref="BM6:BT6"/>
  </mergeCells>
  <pageMargins left="0.51181102362204722" right="0.51181102362204722" top="0.98425196850393704" bottom="0.98425196850393704" header="0.51181102362204722" footer="0.51181102362204722"/>
  <pageSetup paperSize="9" scale="84" fitToHeight="0" orientation="portrait" r:id="rId1"/>
  <headerFooter>
    <oddHeader xml:space="preserve">&amp;L &amp;CCompanhia de Desenvolvimento dos Vales do São Francisco e do Parnaíba
</oddHeader>
    <oddFooter xml:space="preserve">&amp;L &amp;CCODEVASF -  6ªSR Juazeiro / BA
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E8EF4-B1AB-4ECE-9AFB-3CCBABA96567}">
  <sheetPr>
    <pageSetUpPr fitToPage="1"/>
  </sheetPr>
  <dimension ref="A1:IY206"/>
  <sheetViews>
    <sheetView tabSelected="1" view="pageBreakPreview" zoomScale="120" zoomScaleNormal="145" zoomScaleSheetLayoutView="120" workbookViewId="0">
      <selection activeCell="E4" sqref="E4"/>
    </sheetView>
  </sheetViews>
  <sheetFormatPr defaultRowHeight="15" x14ac:dyDescent="0.25"/>
  <cols>
    <col min="1" max="1" width="9" style="73"/>
    <col min="2" max="2" width="22.5" style="73" customWidth="1"/>
    <col min="3" max="3" width="12.75" style="81" customWidth="1"/>
    <col min="4" max="4" width="1.375" style="73" customWidth="1"/>
    <col min="5" max="5" width="22.5" style="73" customWidth="1"/>
    <col min="6" max="6" width="18" style="81" customWidth="1"/>
    <col min="7" max="7" width="1.375" style="73" customWidth="1"/>
    <col min="8" max="8" width="22.5" style="73" customWidth="1"/>
    <col min="9" max="9" width="18" style="81" customWidth="1"/>
    <col min="10" max="16384" width="9" style="73"/>
  </cols>
  <sheetData>
    <row r="1" spans="1:259" s="5" customFormat="1" ht="14.25" customHeight="1" x14ac:dyDescent="0.2">
      <c r="B1" s="70"/>
      <c r="C1" s="457" t="s">
        <v>445</v>
      </c>
      <c r="D1" s="457"/>
      <c r="E1" s="457"/>
      <c r="F1" s="457"/>
      <c r="G1" s="146"/>
      <c r="H1" s="146"/>
      <c r="I1" s="147"/>
    </row>
    <row r="2" spans="1:259" s="5" customFormat="1" ht="14.25" customHeight="1" x14ac:dyDescent="0.35">
      <c r="A2" s="320"/>
      <c r="B2" s="321"/>
      <c r="C2" s="458"/>
      <c r="D2" s="458"/>
      <c r="E2" s="459"/>
      <c r="F2" s="459"/>
      <c r="G2" s="322"/>
      <c r="H2" s="152"/>
      <c r="I2" s="148"/>
    </row>
    <row r="3" spans="1:259" s="5" customFormat="1" ht="15" customHeight="1" thickBot="1" x14ac:dyDescent="0.25">
      <c r="B3" s="71"/>
      <c r="C3" s="460"/>
      <c r="D3" s="460"/>
      <c r="E3" s="460"/>
      <c r="F3" s="460"/>
      <c r="G3" s="149"/>
      <c r="H3" s="149"/>
      <c r="I3" s="150"/>
    </row>
    <row r="4" spans="1:259" s="5" customFormat="1" ht="15" customHeight="1" x14ac:dyDescent="0.25">
      <c r="A4" s="10"/>
      <c r="B4" s="461" t="s">
        <v>58</v>
      </c>
      <c r="C4" s="462"/>
      <c r="D4" s="462"/>
      <c r="E4" s="462"/>
      <c r="F4" s="462"/>
      <c r="G4" s="462"/>
      <c r="H4" s="462"/>
      <c r="I4" s="463"/>
      <c r="J4" s="10"/>
      <c r="K4" s="10"/>
    </row>
    <row r="5" spans="1:259" s="5" customFormat="1" ht="32.25" customHeight="1" x14ac:dyDescent="0.25">
      <c r="A5" s="72"/>
      <c r="B5" s="464" t="s">
        <v>867</v>
      </c>
      <c r="C5" s="465"/>
      <c r="D5" s="465"/>
      <c r="E5" s="465"/>
      <c r="F5" s="465"/>
      <c r="G5" s="465"/>
      <c r="H5" s="465"/>
      <c r="I5" s="466"/>
      <c r="J5" s="72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  <c r="IV5" s="12"/>
      <c r="IW5" s="12"/>
      <c r="IX5" s="12"/>
      <c r="IY5" s="12"/>
    </row>
    <row r="6" spans="1:259" x14ac:dyDescent="0.25">
      <c r="B6" s="467" t="s">
        <v>868</v>
      </c>
      <c r="C6" s="468"/>
      <c r="D6" s="468"/>
      <c r="E6" s="468"/>
      <c r="F6" s="468"/>
      <c r="G6" s="468"/>
      <c r="H6" s="468"/>
      <c r="I6" s="469"/>
    </row>
    <row r="7" spans="1:259" x14ac:dyDescent="0.25">
      <c r="B7" s="467" t="s">
        <v>446</v>
      </c>
      <c r="C7" s="468"/>
      <c r="D7" s="468"/>
      <c r="E7" s="468"/>
      <c r="F7" s="468"/>
      <c r="G7" s="468"/>
      <c r="H7" s="468"/>
      <c r="I7" s="469"/>
    </row>
    <row r="8" spans="1:259" ht="15.75" thickBot="1" x14ac:dyDescent="0.3">
      <c r="A8" s="74"/>
      <c r="B8" s="454" t="s">
        <v>869</v>
      </c>
      <c r="C8" s="455"/>
      <c r="D8" s="455"/>
      <c r="E8" s="455"/>
      <c r="F8" s="455"/>
      <c r="G8" s="455"/>
      <c r="H8" s="455"/>
      <c r="I8" s="456"/>
    </row>
    <row r="9" spans="1:259" ht="15.75" thickBot="1" x14ac:dyDescent="0.3">
      <c r="B9" s="75" t="s">
        <v>447</v>
      </c>
      <c r="C9" s="76" t="s">
        <v>448</v>
      </c>
      <c r="D9" s="155"/>
      <c r="E9" s="75" t="s">
        <v>447</v>
      </c>
      <c r="F9" s="76" t="s">
        <v>448</v>
      </c>
      <c r="G9" s="155"/>
      <c r="H9" s="75" t="s">
        <v>447</v>
      </c>
      <c r="I9" s="76" t="s">
        <v>448</v>
      </c>
    </row>
    <row r="10" spans="1:259" x14ac:dyDescent="0.25">
      <c r="B10" s="77" t="s">
        <v>449</v>
      </c>
      <c r="C10" s="78">
        <v>516</v>
      </c>
      <c r="D10" s="156"/>
      <c r="E10" s="79" t="s">
        <v>540</v>
      </c>
      <c r="F10" s="78">
        <v>235</v>
      </c>
      <c r="G10" s="156"/>
      <c r="H10" s="79" t="s">
        <v>614</v>
      </c>
      <c r="I10" s="78">
        <v>214</v>
      </c>
    </row>
    <row r="11" spans="1:259" x14ac:dyDescent="0.25">
      <c r="B11" s="79" t="s">
        <v>450</v>
      </c>
      <c r="C11" s="78">
        <v>167</v>
      </c>
      <c r="D11" s="156"/>
      <c r="E11" s="79" t="s">
        <v>542</v>
      </c>
      <c r="F11" s="78">
        <v>332</v>
      </c>
      <c r="G11" s="156"/>
      <c r="H11" s="79" t="s">
        <v>545</v>
      </c>
      <c r="I11" s="78">
        <v>263</v>
      </c>
    </row>
    <row r="12" spans="1:259" x14ac:dyDescent="0.25">
      <c r="B12" s="79" t="s">
        <v>451</v>
      </c>
      <c r="C12" s="78">
        <v>330</v>
      </c>
      <c r="D12" s="156"/>
      <c r="E12" s="151" t="s">
        <v>544</v>
      </c>
      <c r="F12" s="78">
        <v>140</v>
      </c>
      <c r="G12" s="156"/>
      <c r="H12" s="79" t="s">
        <v>547</v>
      </c>
      <c r="I12" s="78">
        <v>296</v>
      </c>
    </row>
    <row r="13" spans="1:259" x14ac:dyDescent="0.25">
      <c r="B13" s="79" t="s">
        <v>452</v>
      </c>
      <c r="C13" s="78">
        <v>112</v>
      </c>
      <c r="D13" s="156"/>
      <c r="E13" s="79" t="s">
        <v>546</v>
      </c>
      <c r="F13" s="78">
        <v>224</v>
      </c>
      <c r="G13" s="156"/>
      <c r="H13" s="79" t="s">
        <v>549</v>
      </c>
      <c r="I13" s="78">
        <v>250</v>
      </c>
    </row>
    <row r="14" spans="1:259" x14ac:dyDescent="0.25">
      <c r="B14" s="79" t="s">
        <v>454</v>
      </c>
      <c r="C14" s="78">
        <v>198</v>
      </c>
      <c r="D14" s="156"/>
      <c r="E14" s="79" t="s">
        <v>548</v>
      </c>
      <c r="F14" s="78">
        <v>123</v>
      </c>
      <c r="G14" s="156"/>
      <c r="H14" s="79" t="s">
        <v>615</v>
      </c>
      <c r="I14" s="78">
        <v>167</v>
      </c>
    </row>
    <row r="15" spans="1:259" x14ac:dyDescent="0.25">
      <c r="B15" s="79" t="s">
        <v>456</v>
      </c>
      <c r="C15" s="78">
        <v>78</v>
      </c>
      <c r="D15" s="156"/>
      <c r="E15" s="79" t="s">
        <v>550</v>
      </c>
      <c r="F15" s="78">
        <v>129</v>
      </c>
      <c r="G15" s="156"/>
      <c r="H15" s="79" t="s">
        <v>551</v>
      </c>
      <c r="I15" s="78">
        <v>669</v>
      </c>
    </row>
    <row r="16" spans="1:259" x14ac:dyDescent="0.25">
      <c r="B16" s="79" t="s">
        <v>458</v>
      </c>
      <c r="C16" s="78">
        <v>43</v>
      </c>
      <c r="D16" s="156"/>
      <c r="E16" s="79" t="s">
        <v>552</v>
      </c>
      <c r="F16" s="78">
        <v>167</v>
      </c>
      <c r="G16" s="156"/>
      <c r="H16" s="79" t="s">
        <v>553</v>
      </c>
      <c r="I16" s="78">
        <v>192</v>
      </c>
    </row>
    <row r="17" spans="2:9" x14ac:dyDescent="0.25">
      <c r="B17" s="79" t="s">
        <v>453</v>
      </c>
      <c r="C17" s="78">
        <v>383</v>
      </c>
      <c r="D17" s="156"/>
      <c r="E17" s="79" t="s">
        <v>554</v>
      </c>
      <c r="F17" s="78">
        <v>263</v>
      </c>
      <c r="G17" s="156"/>
      <c r="H17" s="79" t="s">
        <v>555</v>
      </c>
      <c r="I17" s="78">
        <v>147</v>
      </c>
    </row>
    <row r="18" spans="2:9" x14ac:dyDescent="0.25">
      <c r="B18" s="79" t="s">
        <v>460</v>
      </c>
      <c r="C18" s="78">
        <v>111</v>
      </c>
      <c r="D18" s="156"/>
      <c r="E18" s="79" t="s">
        <v>556</v>
      </c>
      <c r="F18" s="78">
        <v>91</v>
      </c>
      <c r="G18" s="156"/>
      <c r="H18" s="79" t="s">
        <v>616</v>
      </c>
      <c r="I18" s="78">
        <v>225</v>
      </c>
    </row>
    <row r="19" spans="2:9" x14ac:dyDescent="0.25">
      <c r="B19" s="79" t="s">
        <v>455</v>
      </c>
      <c r="C19" s="78">
        <v>304</v>
      </c>
      <c r="D19" s="156"/>
      <c r="E19" s="79" t="s">
        <v>558</v>
      </c>
      <c r="F19" s="78">
        <v>235</v>
      </c>
      <c r="G19" s="156"/>
      <c r="H19" s="79" t="s">
        <v>617</v>
      </c>
      <c r="I19" s="78">
        <v>242</v>
      </c>
    </row>
    <row r="20" spans="2:9" x14ac:dyDescent="0.25">
      <c r="B20" s="79" t="s">
        <v>462</v>
      </c>
      <c r="C20" s="78">
        <v>122</v>
      </c>
      <c r="D20" s="156"/>
      <c r="E20" s="79" t="s">
        <v>560</v>
      </c>
      <c r="F20" s="78">
        <v>343</v>
      </c>
      <c r="G20" s="156"/>
      <c r="H20" s="79" t="s">
        <v>618</v>
      </c>
      <c r="I20" s="78">
        <v>190</v>
      </c>
    </row>
    <row r="21" spans="2:9" x14ac:dyDescent="0.25">
      <c r="B21" s="79" t="s">
        <v>457</v>
      </c>
      <c r="C21" s="78">
        <v>352</v>
      </c>
      <c r="D21" s="156"/>
      <c r="E21" s="79" t="s">
        <v>562</v>
      </c>
      <c r="F21" s="78">
        <v>100</v>
      </c>
      <c r="G21" s="156"/>
      <c r="H21" s="79" t="s">
        <v>557</v>
      </c>
      <c r="I21" s="78">
        <v>503</v>
      </c>
    </row>
    <row r="22" spans="2:9" x14ac:dyDescent="0.25">
      <c r="B22" s="79" t="s">
        <v>464</v>
      </c>
      <c r="C22" s="78">
        <v>112</v>
      </c>
      <c r="D22" s="156"/>
      <c r="E22" s="79" t="s">
        <v>564</v>
      </c>
      <c r="F22" s="78">
        <v>71</v>
      </c>
      <c r="G22" s="156"/>
      <c r="H22" s="79" t="s">
        <v>619</v>
      </c>
      <c r="I22" s="78">
        <v>273</v>
      </c>
    </row>
    <row r="23" spans="2:9" x14ac:dyDescent="0.25">
      <c r="B23" s="79" t="s">
        <v>466</v>
      </c>
      <c r="C23" s="78">
        <v>78</v>
      </c>
      <c r="D23" s="156"/>
      <c r="E23" s="79" t="s">
        <v>566</v>
      </c>
      <c r="F23" s="78">
        <v>186</v>
      </c>
      <c r="G23" s="156"/>
      <c r="H23" s="79" t="s">
        <v>620</v>
      </c>
      <c r="I23" s="78">
        <v>146</v>
      </c>
    </row>
    <row r="24" spans="2:9" x14ac:dyDescent="0.25">
      <c r="B24" s="79" t="s">
        <v>459</v>
      </c>
      <c r="C24" s="78">
        <v>176</v>
      </c>
      <c r="D24" s="156"/>
      <c r="E24" s="79" t="s">
        <v>568</v>
      </c>
      <c r="F24" s="78">
        <v>283</v>
      </c>
      <c r="G24" s="156"/>
      <c r="H24" s="151" t="s">
        <v>689</v>
      </c>
      <c r="I24" s="78">
        <v>50</v>
      </c>
    </row>
    <row r="25" spans="2:9" x14ac:dyDescent="0.25">
      <c r="B25" s="79" t="s">
        <v>468</v>
      </c>
      <c r="C25" s="78">
        <v>90</v>
      </c>
      <c r="D25" s="156"/>
      <c r="E25" s="79" t="s">
        <v>570</v>
      </c>
      <c r="F25" s="78">
        <v>171</v>
      </c>
      <c r="G25" s="156"/>
      <c r="H25" s="79" t="s">
        <v>621</v>
      </c>
      <c r="I25" s="78">
        <v>105</v>
      </c>
    </row>
    <row r="26" spans="2:9" x14ac:dyDescent="0.25">
      <c r="B26" s="79" t="s">
        <v>470</v>
      </c>
      <c r="C26" s="78">
        <v>130</v>
      </c>
      <c r="D26" s="156"/>
      <c r="E26" s="79" t="s">
        <v>572</v>
      </c>
      <c r="F26" s="78">
        <v>292</v>
      </c>
      <c r="G26" s="156"/>
      <c r="H26" s="79" t="s">
        <v>559</v>
      </c>
      <c r="I26" s="78">
        <v>394</v>
      </c>
    </row>
    <row r="27" spans="2:9" x14ac:dyDescent="0.25">
      <c r="B27" s="79" t="s">
        <v>472</v>
      </c>
      <c r="C27" s="78">
        <v>218</v>
      </c>
      <c r="D27" s="156"/>
      <c r="E27" s="79" t="s">
        <v>499</v>
      </c>
      <c r="F27" s="78">
        <v>344</v>
      </c>
      <c r="G27" s="156"/>
      <c r="H27" s="79" t="s">
        <v>622</v>
      </c>
      <c r="I27" s="78">
        <v>267</v>
      </c>
    </row>
    <row r="28" spans="2:9" x14ac:dyDescent="0.25">
      <c r="B28" s="79" t="s">
        <v>474</v>
      </c>
      <c r="C28" s="78">
        <v>281</v>
      </c>
      <c r="D28" s="156"/>
      <c r="E28" s="79" t="s">
        <v>574</v>
      </c>
      <c r="F28" s="78">
        <v>214</v>
      </c>
      <c r="G28" s="156"/>
      <c r="H28" s="79" t="s">
        <v>623</v>
      </c>
      <c r="I28" s="78">
        <v>165</v>
      </c>
    </row>
    <row r="29" spans="2:9" x14ac:dyDescent="0.25">
      <c r="B29" s="79" t="s">
        <v>476</v>
      </c>
      <c r="C29" s="78">
        <v>157</v>
      </c>
      <c r="D29" s="156"/>
      <c r="E29" s="79" t="s">
        <v>501</v>
      </c>
      <c r="F29" s="78">
        <v>296</v>
      </c>
      <c r="G29" s="156"/>
      <c r="H29" s="79" t="s">
        <v>561</v>
      </c>
      <c r="I29" s="78">
        <v>223</v>
      </c>
    </row>
    <row r="30" spans="2:9" x14ac:dyDescent="0.25">
      <c r="B30" s="79" t="s">
        <v>478</v>
      </c>
      <c r="C30" s="78">
        <v>162</v>
      </c>
      <c r="D30" s="156"/>
      <c r="E30" s="79" t="s">
        <v>576</v>
      </c>
      <c r="F30" s="78">
        <v>292</v>
      </c>
      <c r="G30" s="156"/>
      <c r="H30" s="79" t="s">
        <v>624</v>
      </c>
      <c r="I30" s="78">
        <v>107</v>
      </c>
    </row>
    <row r="31" spans="2:9" x14ac:dyDescent="0.25">
      <c r="B31" s="79" t="s">
        <v>480</v>
      </c>
      <c r="C31" s="78">
        <v>283</v>
      </c>
      <c r="D31" s="156"/>
      <c r="E31" s="79" t="s">
        <v>503</v>
      </c>
      <c r="F31" s="78">
        <v>363</v>
      </c>
      <c r="G31" s="156"/>
      <c r="H31" s="79" t="s">
        <v>625</v>
      </c>
      <c r="I31" s="78">
        <v>37</v>
      </c>
    </row>
    <row r="32" spans="2:9" x14ac:dyDescent="0.25">
      <c r="B32" s="79" t="s">
        <v>482</v>
      </c>
      <c r="C32" s="78">
        <v>419</v>
      </c>
      <c r="D32" s="156"/>
      <c r="E32" s="79" t="s">
        <v>578</v>
      </c>
      <c r="F32" s="78">
        <v>182</v>
      </c>
      <c r="G32" s="156"/>
      <c r="H32" s="79" t="s">
        <v>626</v>
      </c>
      <c r="I32" s="78">
        <v>147</v>
      </c>
    </row>
    <row r="33" spans="2:9" x14ac:dyDescent="0.25">
      <c r="B33" s="79" t="s">
        <v>484</v>
      </c>
      <c r="C33" s="78">
        <v>115</v>
      </c>
      <c r="D33" s="156"/>
      <c r="E33" s="79" t="s">
        <v>580</v>
      </c>
      <c r="F33" s="78">
        <v>189</v>
      </c>
      <c r="G33" s="156"/>
      <c r="H33" s="79" t="s">
        <v>627</v>
      </c>
      <c r="I33" s="78">
        <v>112</v>
      </c>
    </row>
    <row r="34" spans="2:9" x14ac:dyDescent="0.25">
      <c r="B34" s="79" t="s">
        <v>486</v>
      </c>
      <c r="C34" s="78">
        <v>88</v>
      </c>
      <c r="D34" s="156"/>
      <c r="E34" s="79" t="s">
        <v>505</v>
      </c>
      <c r="F34" s="78">
        <v>341</v>
      </c>
      <c r="G34" s="156"/>
      <c r="H34" s="79" t="s">
        <v>563</v>
      </c>
      <c r="I34" s="78">
        <v>208</v>
      </c>
    </row>
    <row r="35" spans="2:9" x14ac:dyDescent="0.25">
      <c r="B35" s="79" t="s">
        <v>461</v>
      </c>
      <c r="C35" s="78">
        <v>399</v>
      </c>
      <c r="D35" s="156"/>
      <c r="E35" s="79" t="s">
        <v>582</v>
      </c>
      <c r="F35" s="78">
        <v>212</v>
      </c>
      <c r="G35" s="156"/>
      <c r="H35" s="79" t="s">
        <v>628</v>
      </c>
      <c r="I35" s="78">
        <v>140</v>
      </c>
    </row>
    <row r="36" spans="2:9" x14ac:dyDescent="0.25">
      <c r="B36" s="79" t="s">
        <v>488</v>
      </c>
      <c r="C36" s="78">
        <v>217</v>
      </c>
      <c r="D36" s="156"/>
      <c r="E36" s="79" t="s">
        <v>507</v>
      </c>
      <c r="F36" s="78">
        <v>473</v>
      </c>
      <c r="G36" s="156"/>
      <c r="H36" s="79" t="s">
        <v>629</v>
      </c>
      <c r="I36" s="78">
        <v>349</v>
      </c>
    </row>
    <row r="37" spans="2:9" x14ac:dyDescent="0.25">
      <c r="B37" s="79" t="s">
        <v>463</v>
      </c>
      <c r="C37" s="78">
        <v>293</v>
      </c>
      <c r="D37" s="156"/>
      <c r="E37" s="79" t="s">
        <v>584</v>
      </c>
      <c r="F37" s="78">
        <v>188</v>
      </c>
      <c r="G37" s="156"/>
      <c r="H37" s="79" t="s">
        <v>630</v>
      </c>
      <c r="I37" s="78">
        <v>21</v>
      </c>
    </row>
    <row r="38" spans="2:9" x14ac:dyDescent="0.25">
      <c r="B38" s="79" t="s">
        <v>490</v>
      </c>
      <c r="C38" s="78">
        <v>30</v>
      </c>
      <c r="D38" s="156"/>
      <c r="E38" s="79" t="s">
        <v>586</v>
      </c>
      <c r="F38" s="78">
        <v>305</v>
      </c>
      <c r="G38" s="156"/>
      <c r="H38" s="79" t="s">
        <v>631</v>
      </c>
      <c r="I38" s="78">
        <v>74</v>
      </c>
    </row>
    <row r="39" spans="2:9" x14ac:dyDescent="0.25">
      <c r="B39" s="79" t="s">
        <v>492</v>
      </c>
      <c r="C39" s="78">
        <v>241</v>
      </c>
      <c r="D39" s="156"/>
      <c r="E39" s="79" t="s">
        <v>588</v>
      </c>
      <c r="F39" s="78">
        <v>306</v>
      </c>
      <c r="G39" s="156"/>
      <c r="H39" s="79" t="s">
        <v>565</v>
      </c>
      <c r="I39" s="78">
        <v>216</v>
      </c>
    </row>
    <row r="40" spans="2:9" x14ac:dyDescent="0.25">
      <c r="B40" s="79" t="s">
        <v>465</v>
      </c>
      <c r="C40" s="78">
        <v>781</v>
      </c>
      <c r="D40" s="156"/>
      <c r="E40" s="79" t="s">
        <v>590</v>
      </c>
      <c r="F40" s="78">
        <v>139</v>
      </c>
      <c r="G40" s="156"/>
      <c r="H40" s="79" t="s">
        <v>632</v>
      </c>
      <c r="I40" s="78">
        <v>184</v>
      </c>
    </row>
    <row r="41" spans="2:9" x14ac:dyDescent="0.25">
      <c r="B41" s="79" t="s">
        <v>467</v>
      </c>
      <c r="C41" s="78">
        <v>360</v>
      </c>
      <c r="D41" s="156"/>
      <c r="E41" s="79" t="s">
        <v>592</v>
      </c>
      <c r="F41" s="78">
        <v>44</v>
      </c>
      <c r="G41" s="156"/>
      <c r="H41" s="79" t="s">
        <v>633</v>
      </c>
      <c r="I41" s="78">
        <v>21</v>
      </c>
    </row>
    <row r="42" spans="2:9" x14ac:dyDescent="0.25">
      <c r="B42" s="79" t="s">
        <v>494</v>
      </c>
      <c r="C42" s="78">
        <v>131</v>
      </c>
      <c r="D42" s="156"/>
      <c r="E42" s="79" t="s">
        <v>594</v>
      </c>
      <c r="F42" s="78">
        <v>251</v>
      </c>
      <c r="G42" s="156"/>
      <c r="H42" s="79" t="s">
        <v>634</v>
      </c>
      <c r="I42" s="78">
        <v>116</v>
      </c>
    </row>
    <row r="43" spans="2:9" x14ac:dyDescent="0.25">
      <c r="B43" s="79" t="s">
        <v>496</v>
      </c>
      <c r="C43" s="78"/>
      <c r="D43" s="156"/>
      <c r="E43" s="79" t="s">
        <v>509</v>
      </c>
      <c r="F43" s="78">
        <v>435</v>
      </c>
      <c r="G43" s="156"/>
      <c r="H43" s="79" t="s">
        <v>635</v>
      </c>
      <c r="I43" s="78">
        <v>176</v>
      </c>
    </row>
    <row r="44" spans="2:9" x14ac:dyDescent="0.25">
      <c r="B44" s="79" t="s">
        <v>469</v>
      </c>
      <c r="C44" s="78">
        <v>303</v>
      </c>
      <c r="D44" s="156"/>
      <c r="E44" s="79" t="s">
        <v>595</v>
      </c>
      <c r="F44" s="78">
        <v>13</v>
      </c>
      <c r="G44" s="156"/>
      <c r="H44" s="79" t="s">
        <v>636</v>
      </c>
      <c r="I44" s="78">
        <v>59</v>
      </c>
    </row>
    <row r="45" spans="2:9" x14ac:dyDescent="0.25">
      <c r="B45" s="79" t="s">
        <v>471</v>
      </c>
      <c r="C45" s="78">
        <v>462</v>
      </c>
      <c r="D45" s="156"/>
      <c r="E45" s="79" t="s">
        <v>511</v>
      </c>
      <c r="F45" s="78">
        <v>252</v>
      </c>
      <c r="G45" s="156"/>
      <c r="H45" s="79" t="s">
        <v>567</v>
      </c>
      <c r="I45" s="78">
        <v>319</v>
      </c>
    </row>
    <row r="46" spans="2:9" x14ac:dyDescent="0.25">
      <c r="B46" s="79" t="s">
        <v>473</v>
      </c>
      <c r="C46" s="78">
        <v>207</v>
      </c>
      <c r="D46" s="156"/>
      <c r="E46" s="79" t="s">
        <v>596</v>
      </c>
      <c r="F46" s="78">
        <v>97</v>
      </c>
      <c r="G46" s="156"/>
      <c r="H46" s="79" t="s">
        <v>569</v>
      </c>
      <c r="I46" s="78">
        <v>338</v>
      </c>
    </row>
    <row r="47" spans="2:9" x14ac:dyDescent="0.25">
      <c r="B47" s="79" t="s">
        <v>475</v>
      </c>
      <c r="C47" s="78">
        <v>232</v>
      </c>
      <c r="D47" s="156"/>
      <c r="E47" s="79" t="s">
        <v>597</v>
      </c>
      <c r="F47" s="78">
        <v>286</v>
      </c>
      <c r="G47" s="156"/>
      <c r="H47" s="79" t="s">
        <v>571</v>
      </c>
      <c r="I47" s="78">
        <v>650</v>
      </c>
    </row>
    <row r="48" spans="2:9" x14ac:dyDescent="0.25">
      <c r="B48" s="79" t="s">
        <v>498</v>
      </c>
      <c r="C48" s="78">
        <v>142</v>
      </c>
      <c r="D48" s="156"/>
      <c r="E48" s="79" t="s">
        <v>598</v>
      </c>
      <c r="F48" s="78">
        <v>43</v>
      </c>
      <c r="G48" s="156"/>
      <c r="H48" s="79" t="s">
        <v>637</v>
      </c>
      <c r="I48" s="78">
        <v>125</v>
      </c>
    </row>
    <row r="49" spans="2:9" x14ac:dyDescent="0.25">
      <c r="B49" s="79" t="s">
        <v>477</v>
      </c>
      <c r="C49" s="78">
        <v>530</v>
      </c>
      <c r="D49" s="156"/>
      <c r="E49" s="79" t="s">
        <v>513</v>
      </c>
      <c r="F49" s="78">
        <v>318</v>
      </c>
      <c r="G49" s="156"/>
      <c r="H49" s="79" t="s">
        <v>638</v>
      </c>
      <c r="I49" s="78">
        <v>143</v>
      </c>
    </row>
    <row r="50" spans="2:9" x14ac:dyDescent="0.25">
      <c r="B50" s="79" t="s">
        <v>500</v>
      </c>
      <c r="C50" s="78">
        <v>154</v>
      </c>
      <c r="D50" s="156"/>
      <c r="E50" s="79" t="s">
        <v>599</v>
      </c>
      <c r="F50" s="78">
        <v>196</v>
      </c>
      <c r="G50" s="156"/>
      <c r="H50" s="79" t="s">
        <v>573</v>
      </c>
      <c r="I50" s="78">
        <v>278</v>
      </c>
    </row>
    <row r="51" spans="2:9" x14ac:dyDescent="0.25">
      <c r="B51" s="79" t="s">
        <v>502</v>
      </c>
      <c r="C51" s="78">
        <v>50</v>
      </c>
      <c r="D51" s="156"/>
      <c r="E51" s="79" t="s">
        <v>515</v>
      </c>
      <c r="F51" s="78">
        <v>326</v>
      </c>
      <c r="G51" s="156"/>
      <c r="H51" s="79" t="s">
        <v>639</v>
      </c>
      <c r="I51" s="78">
        <v>24</v>
      </c>
    </row>
    <row r="52" spans="2:9" x14ac:dyDescent="0.25">
      <c r="B52" s="79" t="s">
        <v>479</v>
      </c>
      <c r="C52" s="78">
        <v>456</v>
      </c>
      <c r="D52" s="156"/>
      <c r="E52" s="79" t="s">
        <v>517</v>
      </c>
      <c r="F52" s="78">
        <v>317</v>
      </c>
      <c r="G52" s="156"/>
      <c r="H52" s="79" t="s">
        <v>575</v>
      </c>
      <c r="I52" s="78">
        <v>321</v>
      </c>
    </row>
    <row r="53" spans="2:9" x14ac:dyDescent="0.25">
      <c r="B53" s="79" t="s">
        <v>481</v>
      </c>
      <c r="C53" s="78">
        <v>275</v>
      </c>
      <c r="D53" s="156"/>
      <c r="E53" s="79" t="s">
        <v>519</v>
      </c>
      <c r="F53" s="78">
        <v>259</v>
      </c>
      <c r="G53" s="156"/>
      <c r="H53" s="79" t="s">
        <v>577</v>
      </c>
      <c r="I53" s="78">
        <v>508</v>
      </c>
    </row>
    <row r="54" spans="2:9" x14ac:dyDescent="0.25">
      <c r="B54" s="79" t="s">
        <v>504</v>
      </c>
      <c r="C54" s="78">
        <v>212</v>
      </c>
      <c r="D54" s="156"/>
      <c r="E54" s="79" t="s">
        <v>600</v>
      </c>
      <c r="F54" s="78">
        <v>165</v>
      </c>
      <c r="G54" s="156"/>
      <c r="H54" s="79" t="s">
        <v>640</v>
      </c>
      <c r="I54" s="78">
        <v>170</v>
      </c>
    </row>
    <row r="55" spans="2:9" x14ac:dyDescent="0.25">
      <c r="B55" s="79" t="s">
        <v>506</v>
      </c>
      <c r="C55" s="78">
        <v>82</v>
      </c>
      <c r="D55" s="156"/>
      <c r="E55" s="79" t="s">
        <v>601</v>
      </c>
      <c r="F55" s="78">
        <v>102</v>
      </c>
      <c r="G55" s="156"/>
      <c r="H55" s="79" t="s">
        <v>641</v>
      </c>
      <c r="I55" s="78">
        <v>188</v>
      </c>
    </row>
    <row r="56" spans="2:9" x14ac:dyDescent="0.25">
      <c r="B56" s="79" t="s">
        <v>508</v>
      </c>
      <c r="C56" s="78">
        <v>126</v>
      </c>
      <c r="D56" s="156"/>
      <c r="E56" s="79" t="s">
        <v>602</v>
      </c>
      <c r="F56" s="78">
        <v>205</v>
      </c>
      <c r="G56" s="156"/>
      <c r="H56" s="79" t="s">
        <v>579</v>
      </c>
      <c r="I56" s="78">
        <v>309</v>
      </c>
    </row>
    <row r="57" spans="2:9" x14ac:dyDescent="0.25">
      <c r="B57" s="79" t="s">
        <v>483</v>
      </c>
      <c r="C57" s="78">
        <v>173</v>
      </c>
      <c r="D57" s="156"/>
      <c r="E57" s="79" t="s">
        <v>603</v>
      </c>
      <c r="F57" s="78">
        <v>177</v>
      </c>
      <c r="G57" s="156"/>
      <c r="H57" s="79" t="s">
        <v>642</v>
      </c>
      <c r="I57" s="78">
        <v>56</v>
      </c>
    </row>
    <row r="58" spans="2:9" x14ac:dyDescent="0.25">
      <c r="B58" s="79" t="s">
        <v>510</v>
      </c>
      <c r="C58" s="78">
        <v>54</v>
      </c>
      <c r="D58" s="156"/>
      <c r="E58" s="79" t="s">
        <v>604</v>
      </c>
      <c r="F58" s="78">
        <v>231</v>
      </c>
      <c r="G58" s="156"/>
      <c r="H58" s="79" t="s">
        <v>643</v>
      </c>
      <c r="I58" s="78">
        <v>162</v>
      </c>
    </row>
    <row r="59" spans="2:9" x14ac:dyDescent="0.25">
      <c r="B59" s="79" t="s">
        <v>512</v>
      </c>
      <c r="C59" s="78">
        <v>179</v>
      </c>
      <c r="D59" s="156"/>
      <c r="E59" s="79" t="s">
        <v>521</v>
      </c>
      <c r="F59" s="78">
        <v>305</v>
      </c>
      <c r="G59" s="156"/>
      <c r="H59" s="79" t="s">
        <v>644</v>
      </c>
      <c r="I59" s="78">
        <v>232</v>
      </c>
    </row>
    <row r="60" spans="2:9" x14ac:dyDescent="0.25">
      <c r="B60" s="79" t="s">
        <v>514</v>
      </c>
      <c r="C60" s="78">
        <v>68</v>
      </c>
      <c r="D60" s="156"/>
      <c r="E60" s="79" t="s">
        <v>523</v>
      </c>
      <c r="F60" s="78">
        <v>183</v>
      </c>
      <c r="G60" s="156"/>
      <c r="H60" s="79" t="s">
        <v>645</v>
      </c>
      <c r="I60" s="78">
        <v>282</v>
      </c>
    </row>
    <row r="61" spans="2:9" x14ac:dyDescent="0.25">
      <c r="B61" s="79" t="s">
        <v>485</v>
      </c>
      <c r="C61" s="78">
        <v>358</v>
      </c>
      <c r="D61" s="156"/>
      <c r="E61" s="79" t="s">
        <v>605</v>
      </c>
      <c r="F61" s="78">
        <v>230</v>
      </c>
      <c r="G61" s="156"/>
      <c r="H61" s="79" t="s">
        <v>646</v>
      </c>
      <c r="I61" s="78">
        <v>223</v>
      </c>
    </row>
    <row r="62" spans="2:9" x14ac:dyDescent="0.25">
      <c r="B62" s="79" t="s">
        <v>516</v>
      </c>
      <c r="C62" s="78">
        <v>275</v>
      </c>
      <c r="D62" s="156"/>
      <c r="E62" s="79" t="s">
        <v>606</v>
      </c>
      <c r="F62" s="78">
        <v>370</v>
      </c>
      <c r="G62" s="156"/>
      <c r="H62" s="79" t="s">
        <v>581</v>
      </c>
      <c r="I62" s="78">
        <v>383</v>
      </c>
    </row>
    <row r="63" spans="2:9" x14ac:dyDescent="0.25">
      <c r="B63" s="79" t="s">
        <v>518</v>
      </c>
      <c r="C63" s="78">
        <v>193</v>
      </c>
      <c r="D63" s="156"/>
      <c r="E63" s="79" t="s">
        <v>607</v>
      </c>
      <c r="F63" s="78">
        <v>195</v>
      </c>
      <c r="G63" s="156"/>
      <c r="H63" s="79" t="s">
        <v>647</v>
      </c>
      <c r="I63" s="78">
        <v>226</v>
      </c>
    </row>
    <row r="64" spans="2:9" x14ac:dyDescent="0.25">
      <c r="B64" s="79" t="s">
        <v>520</v>
      </c>
      <c r="C64" s="78">
        <v>105</v>
      </c>
      <c r="D64" s="156"/>
      <c r="E64" s="79" t="s">
        <v>525</v>
      </c>
      <c r="F64" s="78">
        <v>318</v>
      </c>
      <c r="G64" s="156"/>
      <c r="H64" s="79" t="s">
        <v>583</v>
      </c>
      <c r="I64" s="78">
        <v>330</v>
      </c>
    </row>
    <row r="65" spans="2:9" ht="15.75" thickBot="1" x14ac:dyDescent="0.3">
      <c r="B65" s="157" t="s">
        <v>487</v>
      </c>
      <c r="C65" s="80">
        <v>568</v>
      </c>
      <c r="D65" s="82"/>
      <c r="E65" s="157" t="s">
        <v>608</v>
      </c>
      <c r="F65" s="80">
        <v>174</v>
      </c>
      <c r="G65" s="82"/>
      <c r="H65" s="157" t="s">
        <v>585</v>
      </c>
      <c r="I65" s="80">
        <v>356</v>
      </c>
    </row>
    <row r="66" spans="2:9" x14ac:dyDescent="0.25">
      <c r="B66" s="77" t="s">
        <v>522</v>
      </c>
      <c r="C66" s="336">
        <v>37</v>
      </c>
      <c r="D66" s="155"/>
      <c r="E66" s="77" t="s">
        <v>609</v>
      </c>
      <c r="F66" s="336">
        <v>109</v>
      </c>
      <c r="G66" s="155"/>
      <c r="H66" s="77" t="s">
        <v>648</v>
      </c>
      <c r="I66" s="336">
        <v>203</v>
      </c>
    </row>
    <row r="67" spans="2:9" x14ac:dyDescent="0.25">
      <c r="B67" s="79" t="s">
        <v>524</v>
      </c>
      <c r="C67" s="78">
        <v>162</v>
      </c>
      <c r="D67" s="156"/>
      <c r="E67" s="79" t="s">
        <v>527</v>
      </c>
      <c r="F67" s="78">
        <v>365</v>
      </c>
      <c r="G67" s="156"/>
      <c r="H67" s="79" t="s">
        <v>587</v>
      </c>
      <c r="I67" s="78">
        <v>196</v>
      </c>
    </row>
    <row r="68" spans="2:9" x14ac:dyDescent="0.25">
      <c r="B68" s="79" t="s">
        <v>526</v>
      </c>
      <c r="C68" s="78">
        <v>186</v>
      </c>
      <c r="D68" s="156"/>
      <c r="E68" s="79" t="s">
        <v>529</v>
      </c>
      <c r="F68" s="78">
        <v>307</v>
      </c>
      <c r="G68" s="156"/>
      <c r="H68" s="79" t="s">
        <v>589</v>
      </c>
      <c r="I68" s="78">
        <v>255</v>
      </c>
    </row>
    <row r="69" spans="2:9" x14ac:dyDescent="0.25">
      <c r="B69" s="79" t="s">
        <v>528</v>
      </c>
      <c r="C69" s="78">
        <v>126</v>
      </c>
      <c r="D69" s="156"/>
      <c r="E69" s="79" t="s">
        <v>531</v>
      </c>
      <c r="F69" s="78">
        <v>422</v>
      </c>
      <c r="G69" s="156"/>
      <c r="H69" s="79" t="s">
        <v>591</v>
      </c>
      <c r="I69" s="78">
        <v>291</v>
      </c>
    </row>
    <row r="70" spans="2:9" x14ac:dyDescent="0.25">
      <c r="B70" s="79" t="s">
        <v>530</v>
      </c>
      <c r="C70" s="78">
        <v>149</v>
      </c>
      <c r="D70" s="156"/>
      <c r="E70" s="79" t="s">
        <v>533</v>
      </c>
      <c r="F70" s="78">
        <v>176</v>
      </c>
      <c r="G70" s="156"/>
      <c r="H70" s="79" t="s">
        <v>593</v>
      </c>
      <c r="I70" s="78">
        <v>358</v>
      </c>
    </row>
    <row r="71" spans="2:9" x14ac:dyDescent="0.25">
      <c r="B71" s="79" t="s">
        <v>489</v>
      </c>
      <c r="C71" s="78">
        <v>279</v>
      </c>
      <c r="D71" s="156"/>
      <c r="E71" s="79" t="s">
        <v>610</v>
      </c>
      <c r="F71" s="78">
        <v>80</v>
      </c>
      <c r="G71" s="156"/>
      <c r="H71" s="79" t="s">
        <v>649</v>
      </c>
      <c r="I71" s="78">
        <v>165</v>
      </c>
    </row>
    <row r="72" spans="2:9" x14ac:dyDescent="0.25">
      <c r="B72" s="79" t="s">
        <v>491</v>
      </c>
      <c r="C72" s="78">
        <v>293</v>
      </c>
      <c r="D72" s="156"/>
      <c r="E72" s="79" t="s">
        <v>535</v>
      </c>
      <c r="F72" s="78">
        <v>392</v>
      </c>
      <c r="G72" s="156"/>
      <c r="H72" s="79" t="s">
        <v>650</v>
      </c>
      <c r="I72" s="78">
        <v>362</v>
      </c>
    </row>
    <row r="73" spans="2:9" x14ac:dyDescent="0.25">
      <c r="B73" s="79" t="s">
        <v>532</v>
      </c>
      <c r="C73" s="78">
        <v>71</v>
      </c>
      <c r="D73" s="156"/>
      <c r="E73" s="79" t="s">
        <v>537</v>
      </c>
      <c r="F73" s="78">
        <v>740</v>
      </c>
      <c r="G73" s="156"/>
      <c r="H73" s="79" t="s">
        <v>651</v>
      </c>
      <c r="I73" s="78">
        <v>352</v>
      </c>
    </row>
    <row r="74" spans="2:9" ht="15.75" thickBot="1" x14ac:dyDescent="0.3">
      <c r="B74" s="79" t="s">
        <v>493</v>
      </c>
      <c r="C74" s="78">
        <v>306</v>
      </c>
      <c r="D74" s="156"/>
      <c r="E74" s="79" t="s">
        <v>539</v>
      </c>
      <c r="F74" s="78">
        <v>340</v>
      </c>
      <c r="G74" s="156"/>
      <c r="H74" s="79" t="s">
        <v>652</v>
      </c>
      <c r="I74" s="78">
        <v>245</v>
      </c>
    </row>
    <row r="75" spans="2:9" x14ac:dyDescent="0.25">
      <c r="B75" s="79" t="s">
        <v>534</v>
      </c>
      <c r="C75" s="78">
        <v>251</v>
      </c>
      <c r="D75" s="156"/>
      <c r="E75" s="79" t="s">
        <v>611</v>
      </c>
      <c r="F75" s="78">
        <v>214</v>
      </c>
      <c r="G75" s="156"/>
      <c r="H75" s="450" t="s">
        <v>690</v>
      </c>
      <c r="I75" s="452">
        <f>ROUND(AVERAGE(I9:I73,F9:F78,C9:C78),0)</f>
        <v>231</v>
      </c>
    </row>
    <row r="76" spans="2:9" ht="15.75" thickBot="1" x14ac:dyDescent="0.3">
      <c r="B76" s="79" t="s">
        <v>495</v>
      </c>
      <c r="C76" s="78">
        <v>206</v>
      </c>
      <c r="D76" s="156"/>
      <c r="E76" s="79" t="s">
        <v>612</v>
      </c>
      <c r="F76" s="78">
        <v>267</v>
      </c>
      <c r="G76" s="156"/>
      <c r="H76" s="451"/>
      <c r="I76" s="453"/>
    </row>
    <row r="77" spans="2:9" x14ac:dyDescent="0.25">
      <c r="B77" s="79" t="s">
        <v>497</v>
      </c>
      <c r="C77" s="78">
        <v>430</v>
      </c>
      <c r="D77" s="156"/>
      <c r="E77" s="79" t="s">
        <v>541</v>
      </c>
      <c r="F77" s="78">
        <v>279</v>
      </c>
      <c r="G77" s="156"/>
      <c r="H77" s="337"/>
      <c r="I77" s="338"/>
    </row>
    <row r="78" spans="2:9" x14ac:dyDescent="0.25">
      <c r="B78" s="79" t="s">
        <v>536</v>
      </c>
      <c r="C78" s="78">
        <v>92</v>
      </c>
      <c r="D78" s="156"/>
      <c r="E78" s="79" t="s">
        <v>613</v>
      </c>
      <c r="F78" s="78">
        <v>51</v>
      </c>
      <c r="G78" s="156"/>
      <c r="H78" s="339"/>
      <c r="I78" s="158"/>
    </row>
    <row r="79" spans="2:9" ht="15.75" thickBot="1" x14ac:dyDescent="0.3">
      <c r="B79" s="157" t="s">
        <v>538</v>
      </c>
      <c r="C79" s="80">
        <v>285</v>
      </c>
      <c r="D79" s="82"/>
      <c r="E79" s="157" t="s">
        <v>543</v>
      </c>
      <c r="F79" s="80">
        <v>294</v>
      </c>
      <c r="G79" s="82"/>
      <c r="H79" s="340"/>
      <c r="I79" s="341"/>
    </row>
    <row r="80" spans="2:9" x14ac:dyDescent="0.25">
      <c r="B80" s="156"/>
      <c r="C80" s="153"/>
      <c r="D80" s="156"/>
      <c r="E80" s="156"/>
      <c r="F80" s="153"/>
      <c r="G80" s="156"/>
      <c r="H80" s="156"/>
      <c r="I80" s="153"/>
    </row>
    <row r="81" spans="2:9" x14ac:dyDescent="0.25">
      <c r="B81" s="156"/>
      <c r="C81" s="153"/>
      <c r="D81" s="156"/>
      <c r="E81" s="156"/>
      <c r="F81" s="153"/>
      <c r="G81" s="156"/>
      <c r="H81" s="156"/>
      <c r="I81" s="153"/>
    </row>
    <row r="82" spans="2:9" x14ac:dyDescent="0.25">
      <c r="B82" s="156"/>
      <c r="C82" s="153"/>
      <c r="D82" s="156"/>
      <c r="E82" s="156"/>
      <c r="F82" s="153"/>
      <c r="G82" s="156"/>
      <c r="H82" s="156"/>
      <c r="I82" s="153"/>
    </row>
    <row r="83" spans="2:9" x14ac:dyDescent="0.25">
      <c r="B83" s="156"/>
      <c r="C83" s="153"/>
      <c r="D83" s="156"/>
      <c r="E83" s="156"/>
      <c r="F83" s="153"/>
      <c r="G83" s="156"/>
      <c r="H83" s="156"/>
      <c r="I83" s="153"/>
    </row>
    <row r="84" spans="2:9" x14ac:dyDescent="0.25">
      <c r="B84" s="156"/>
      <c r="C84" s="153"/>
      <c r="D84" s="156"/>
      <c r="E84" s="156"/>
      <c r="F84" s="153"/>
      <c r="G84" s="156"/>
      <c r="H84" s="156"/>
      <c r="I84" s="153"/>
    </row>
    <row r="85" spans="2:9" x14ac:dyDescent="0.25">
      <c r="B85" s="156"/>
      <c r="C85" s="153"/>
      <c r="D85" s="156"/>
      <c r="E85" s="156"/>
      <c r="F85" s="153"/>
      <c r="G85" s="156"/>
      <c r="H85" s="156"/>
      <c r="I85" s="153"/>
    </row>
    <row r="86" spans="2:9" x14ac:dyDescent="0.25">
      <c r="B86" s="156"/>
      <c r="C86" s="153"/>
      <c r="D86" s="156"/>
      <c r="E86" s="156"/>
      <c r="F86" s="153"/>
      <c r="G86" s="156"/>
      <c r="H86" s="156"/>
      <c r="I86" s="153"/>
    </row>
    <row r="87" spans="2:9" x14ac:dyDescent="0.25">
      <c r="B87" s="156"/>
      <c r="C87" s="153"/>
      <c r="D87" s="156"/>
      <c r="E87" s="156"/>
      <c r="F87" s="153"/>
      <c r="G87" s="156"/>
      <c r="H87" s="156"/>
      <c r="I87" s="153"/>
    </row>
    <row r="88" spans="2:9" x14ac:dyDescent="0.25">
      <c r="B88" s="156"/>
      <c r="C88" s="153"/>
      <c r="D88" s="156"/>
      <c r="E88" s="156"/>
      <c r="F88" s="153"/>
      <c r="G88" s="156"/>
      <c r="H88" s="156"/>
      <c r="I88" s="153"/>
    </row>
    <row r="89" spans="2:9" x14ac:dyDescent="0.25">
      <c r="B89" s="156"/>
      <c r="C89" s="153"/>
      <c r="D89" s="156"/>
      <c r="E89" s="156"/>
      <c r="F89" s="153"/>
      <c r="G89" s="156"/>
      <c r="H89" s="156"/>
      <c r="I89" s="153"/>
    </row>
    <row r="90" spans="2:9" x14ac:dyDescent="0.25">
      <c r="B90" s="156"/>
      <c r="C90" s="153"/>
      <c r="D90" s="156"/>
      <c r="E90" s="156"/>
      <c r="F90" s="153"/>
      <c r="G90" s="156"/>
      <c r="H90" s="156"/>
      <c r="I90" s="153"/>
    </row>
    <row r="91" spans="2:9" x14ac:dyDescent="0.25">
      <c r="B91" s="156"/>
      <c r="C91" s="153"/>
      <c r="D91" s="156"/>
      <c r="E91" s="156"/>
      <c r="F91" s="153"/>
      <c r="G91" s="156"/>
      <c r="H91" s="156"/>
      <c r="I91" s="153"/>
    </row>
    <row r="92" spans="2:9" x14ac:dyDescent="0.25">
      <c r="B92" s="156"/>
      <c r="C92" s="153"/>
      <c r="D92" s="156"/>
      <c r="E92" s="156"/>
      <c r="F92" s="153"/>
      <c r="G92" s="156"/>
      <c r="H92" s="156"/>
      <c r="I92" s="153"/>
    </row>
    <row r="93" spans="2:9" x14ac:dyDescent="0.25">
      <c r="B93" s="156"/>
      <c r="C93" s="153"/>
      <c r="D93" s="156"/>
      <c r="E93" s="156"/>
      <c r="F93" s="153"/>
      <c r="G93" s="156"/>
      <c r="H93" s="156"/>
      <c r="I93" s="153"/>
    </row>
    <row r="94" spans="2:9" x14ac:dyDescent="0.25">
      <c r="B94" s="156"/>
      <c r="C94" s="153"/>
      <c r="D94" s="156"/>
      <c r="E94" s="156"/>
      <c r="F94" s="153"/>
      <c r="G94" s="156"/>
      <c r="H94" s="156"/>
      <c r="I94" s="153"/>
    </row>
    <row r="95" spans="2:9" x14ac:dyDescent="0.25">
      <c r="B95" s="156"/>
      <c r="C95" s="153"/>
      <c r="D95" s="156"/>
      <c r="E95" s="156"/>
      <c r="F95" s="153"/>
      <c r="G95" s="156"/>
      <c r="H95" s="156"/>
      <c r="I95" s="153"/>
    </row>
    <row r="96" spans="2:9" x14ac:dyDescent="0.25">
      <c r="B96" s="156"/>
      <c r="C96" s="153"/>
      <c r="D96" s="156"/>
      <c r="E96" s="156"/>
      <c r="F96" s="153"/>
      <c r="G96" s="156"/>
      <c r="H96" s="156"/>
      <c r="I96" s="153"/>
    </row>
    <row r="97" spans="2:9" x14ac:dyDescent="0.25">
      <c r="B97" s="156"/>
      <c r="C97" s="153"/>
      <c r="D97" s="156"/>
      <c r="E97" s="156"/>
      <c r="F97" s="153"/>
      <c r="G97" s="156"/>
      <c r="H97" s="156"/>
      <c r="I97" s="153"/>
    </row>
    <row r="98" spans="2:9" x14ac:dyDescent="0.25">
      <c r="B98" s="156"/>
      <c r="C98" s="153"/>
      <c r="D98" s="156"/>
      <c r="E98" s="156"/>
      <c r="F98" s="153"/>
      <c r="G98" s="156"/>
      <c r="H98" s="156"/>
      <c r="I98" s="153"/>
    </row>
    <row r="99" spans="2:9" x14ac:dyDescent="0.25">
      <c r="B99" s="156"/>
      <c r="C99" s="153"/>
      <c r="D99" s="156"/>
      <c r="E99" s="156"/>
      <c r="F99" s="153"/>
      <c r="G99" s="156"/>
      <c r="H99" s="156"/>
      <c r="I99" s="153"/>
    </row>
    <row r="100" spans="2:9" x14ac:dyDescent="0.25">
      <c r="B100" s="156"/>
      <c r="C100" s="153"/>
      <c r="D100" s="156"/>
      <c r="E100" s="156"/>
      <c r="F100" s="153"/>
      <c r="G100" s="156"/>
      <c r="H100" s="156"/>
      <c r="I100" s="153"/>
    </row>
    <row r="101" spans="2:9" x14ac:dyDescent="0.25">
      <c r="B101" s="156"/>
      <c r="C101" s="153"/>
      <c r="D101" s="156"/>
      <c r="E101" s="156"/>
      <c r="F101" s="153"/>
      <c r="G101" s="156"/>
      <c r="H101" s="156"/>
      <c r="I101" s="153"/>
    </row>
    <row r="102" spans="2:9" x14ac:dyDescent="0.25">
      <c r="B102" s="156"/>
      <c r="C102" s="153"/>
      <c r="D102" s="156"/>
      <c r="E102" s="156"/>
      <c r="F102" s="153"/>
      <c r="G102" s="156"/>
      <c r="H102" s="156"/>
      <c r="I102" s="153"/>
    </row>
    <row r="103" spans="2:9" x14ac:dyDescent="0.25">
      <c r="B103" s="156"/>
      <c r="C103" s="153"/>
      <c r="D103" s="156"/>
      <c r="E103" s="156"/>
      <c r="F103" s="153"/>
      <c r="G103" s="156"/>
      <c r="H103" s="156"/>
      <c r="I103" s="153"/>
    </row>
    <row r="104" spans="2:9" x14ac:dyDescent="0.25">
      <c r="B104" s="156"/>
      <c r="C104" s="153"/>
      <c r="D104" s="156"/>
      <c r="E104" s="156"/>
      <c r="F104" s="153"/>
      <c r="G104" s="156"/>
      <c r="H104" s="156"/>
      <c r="I104" s="153"/>
    </row>
    <row r="105" spans="2:9" x14ac:dyDescent="0.25">
      <c r="B105" s="156"/>
      <c r="C105" s="153"/>
      <c r="D105" s="156"/>
      <c r="E105" s="156"/>
      <c r="F105" s="153"/>
      <c r="G105" s="156"/>
      <c r="H105" s="156"/>
      <c r="I105" s="153"/>
    </row>
    <row r="106" spans="2:9" x14ac:dyDescent="0.25">
      <c r="B106" s="156"/>
      <c r="C106" s="153"/>
      <c r="D106" s="156"/>
      <c r="E106" s="156"/>
      <c r="F106" s="153"/>
      <c r="G106" s="156"/>
      <c r="H106" s="156"/>
      <c r="I106" s="153"/>
    </row>
    <row r="107" spans="2:9" x14ac:dyDescent="0.25">
      <c r="B107" s="156"/>
      <c r="C107" s="153"/>
      <c r="D107" s="156"/>
      <c r="E107" s="156"/>
      <c r="F107" s="153"/>
      <c r="G107" s="156"/>
      <c r="H107" s="156"/>
      <c r="I107" s="153"/>
    </row>
    <row r="108" spans="2:9" x14ac:dyDescent="0.25">
      <c r="B108" s="156"/>
      <c r="C108" s="153"/>
      <c r="D108" s="156"/>
      <c r="E108" s="156"/>
      <c r="F108" s="153"/>
      <c r="G108" s="156"/>
      <c r="H108" s="156"/>
      <c r="I108" s="153"/>
    </row>
    <row r="109" spans="2:9" x14ac:dyDescent="0.25">
      <c r="B109" s="156"/>
      <c r="C109" s="153"/>
      <c r="D109" s="156"/>
      <c r="E109" s="156"/>
      <c r="F109" s="153"/>
      <c r="G109" s="156"/>
      <c r="H109" s="156"/>
      <c r="I109" s="153"/>
    </row>
    <row r="110" spans="2:9" x14ac:dyDescent="0.25">
      <c r="B110" s="156"/>
      <c r="C110" s="153"/>
      <c r="D110" s="156"/>
      <c r="E110" s="156"/>
      <c r="F110" s="153"/>
      <c r="G110" s="156"/>
      <c r="H110" s="156"/>
      <c r="I110" s="153"/>
    </row>
    <row r="111" spans="2:9" x14ac:dyDescent="0.25">
      <c r="B111" s="156"/>
      <c r="C111" s="153"/>
      <c r="D111" s="156"/>
      <c r="E111" s="156"/>
      <c r="F111" s="153"/>
      <c r="G111" s="156"/>
      <c r="H111" s="156"/>
      <c r="I111" s="153"/>
    </row>
    <row r="112" spans="2:9" x14ac:dyDescent="0.25">
      <c r="B112" s="156"/>
      <c r="C112" s="153"/>
      <c r="D112" s="156"/>
      <c r="E112" s="156"/>
      <c r="F112" s="153"/>
      <c r="G112" s="156"/>
      <c r="H112" s="156"/>
      <c r="I112" s="153"/>
    </row>
    <row r="113" spans="2:9" x14ac:dyDescent="0.25">
      <c r="B113" s="156"/>
      <c r="C113" s="153"/>
      <c r="D113" s="156"/>
      <c r="E113" s="156"/>
      <c r="F113" s="153"/>
      <c r="G113" s="156"/>
      <c r="H113" s="156"/>
      <c r="I113" s="153"/>
    </row>
    <row r="114" spans="2:9" x14ac:dyDescent="0.25">
      <c r="B114" s="156"/>
      <c r="C114" s="153"/>
      <c r="D114" s="156"/>
      <c r="E114" s="156"/>
      <c r="F114" s="153"/>
      <c r="G114" s="156"/>
      <c r="H114" s="156"/>
      <c r="I114" s="153"/>
    </row>
    <row r="115" spans="2:9" x14ac:dyDescent="0.25">
      <c r="B115" s="156"/>
      <c r="C115" s="153"/>
      <c r="D115" s="156"/>
      <c r="E115" s="156"/>
      <c r="F115" s="153"/>
      <c r="G115" s="156"/>
      <c r="H115" s="156"/>
      <c r="I115" s="153"/>
    </row>
    <row r="116" spans="2:9" x14ac:dyDescent="0.25">
      <c r="B116" s="156"/>
      <c r="C116" s="153"/>
      <c r="D116" s="156"/>
      <c r="E116" s="156"/>
      <c r="F116" s="153"/>
      <c r="G116" s="156"/>
      <c r="H116" s="156"/>
      <c r="I116" s="153"/>
    </row>
    <row r="117" spans="2:9" x14ac:dyDescent="0.25">
      <c r="B117" s="156"/>
      <c r="C117" s="153"/>
      <c r="D117" s="156"/>
      <c r="E117" s="156"/>
      <c r="F117" s="153"/>
      <c r="G117" s="156"/>
      <c r="H117" s="156"/>
      <c r="I117" s="153"/>
    </row>
    <row r="118" spans="2:9" x14ac:dyDescent="0.25">
      <c r="B118" s="156"/>
      <c r="C118" s="153"/>
      <c r="D118" s="156"/>
      <c r="E118" s="156"/>
      <c r="F118" s="153"/>
      <c r="G118" s="156"/>
      <c r="H118" s="156"/>
      <c r="I118" s="153"/>
    </row>
    <row r="119" spans="2:9" x14ac:dyDescent="0.25">
      <c r="B119" s="156"/>
      <c r="C119" s="153"/>
      <c r="D119" s="156"/>
      <c r="E119" s="156"/>
      <c r="F119" s="153"/>
      <c r="G119" s="156"/>
      <c r="H119" s="156"/>
      <c r="I119" s="153"/>
    </row>
    <row r="120" spans="2:9" x14ac:dyDescent="0.25">
      <c r="B120" s="156"/>
      <c r="C120" s="153"/>
      <c r="D120" s="156"/>
      <c r="E120" s="156"/>
      <c r="F120" s="153"/>
      <c r="G120" s="156"/>
      <c r="H120" s="156"/>
      <c r="I120" s="153"/>
    </row>
    <row r="121" spans="2:9" x14ac:dyDescent="0.25">
      <c r="B121" s="156"/>
      <c r="C121" s="153"/>
      <c r="D121" s="156"/>
      <c r="E121" s="156"/>
      <c r="F121" s="153"/>
      <c r="G121" s="156"/>
      <c r="H121" s="156"/>
      <c r="I121" s="153"/>
    </row>
    <row r="122" spans="2:9" x14ac:dyDescent="0.25">
      <c r="B122" s="156"/>
      <c r="C122" s="153"/>
      <c r="D122" s="156"/>
      <c r="E122" s="156"/>
      <c r="F122" s="153"/>
      <c r="G122" s="156"/>
      <c r="H122" s="156"/>
      <c r="I122" s="153"/>
    </row>
    <row r="123" spans="2:9" x14ac:dyDescent="0.25">
      <c r="B123" s="156"/>
      <c r="C123" s="153"/>
      <c r="D123" s="156"/>
      <c r="E123" s="156"/>
      <c r="F123" s="153"/>
      <c r="G123" s="156"/>
      <c r="H123" s="156"/>
      <c r="I123" s="153"/>
    </row>
    <row r="124" spans="2:9" x14ac:dyDescent="0.25">
      <c r="B124" s="156"/>
      <c r="C124" s="153"/>
      <c r="D124" s="156"/>
      <c r="E124" s="156"/>
      <c r="F124" s="153"/>
      <c r="G124" s="156"/>
      <c r="H124" s="156"/>
      <c r="I124" s="153"/>
    </row>
    <row r="125" spans="2:9" x14ac:dyDescent="0.25">
      <c r="B125" s="156"/>
      <c r="C125" s="153"/>
      <c r="D125" s="156"/>
      <c r="E125" s="156"/>
      <c r="F125" s="153"/>
      <c r="G125" s="156"/>
      <c r="H125" s="156"/>
      <c r="I125" s="153"/>
    </row>
    <row r="126" spans="2:9" x14ac:dyDescent="0.25">
      <c r="B126" s="156"/>
      <c r="C126" s="153"/>
      <c r="D126" s="156"/>
      <c r="E126" s="156"/>
      <c r="F126" s="153"/>
      <c r="G126" s="156"/>
      <c r="H126" s="156"/>
      <c r="I126" s="153"/>
    </row>
    <row r="127" spans="2:9" x14ac:dyDescent="0.25">
      <c r="B127" s="156"/>
      <c r="C127" s="153"/>
      <c r="D127" s="156"/>
      <c r="E127" s="156"/>
      <c r="F127" s="153"/>
      <c r="G127" s="156"/>
      <c r="H127" s="156"/>
      <c r="I127" s="153"/>
    </row>
    <row r="128" spans="2:9" x14ac:dyDescent="0.25">
      <c r="B128" s="156"/>
      <c r="C128" s="153"/>
      <c r="D128" s="156"/>
      <c r="E128" s="156"/>
      <c r="F128" s="153"/>
      <c r="G128" s="156"/>
      <c r="H128" s="156"/>
      <c r="I128" s="153"/>
    </row>
    <row r="129" spans="2:9" x14ac:dyDescent="0.25">
      <c r="B129" s="156"/>
      <c r="C129" s="153"/>
      <c r="D129" s="156"/>
      <c r="E129" s="156"/>
      <c r="F129" s="153"/>
      <c r="G129" s="156"/>
      <c r="H129" s="156"/>
      <c r="I129" s="153"/>
    </row>
    <row r="130" spans="2:9" x14ac:dyDescent="0.25">
      <c r="B130" s="156"/>
      <c r="C130" s="153"/>
      <c r="D130" s="156"/>
      <c r="E130" s="156"/>
      <c r="F130" s="153"/>
      <c r="G130" s="156"/>
      <c r="H130" s="156"/>
      <c r="I130" s="153"/>
    </row>
    <row r="131" spans="2:9" x14ac:dyDescent="0.25">
      <c r="B131" s="156"/>
      <c r="C131" s="153"/>
      <c r="D131" s="156"/>
      <c r="E131" s="156"/>
      <c r="F131" s="153"/>
      <c r="G131" s="156"/>
      <c r="H131" s="156"/>
      <c r="I131" s="153"/>
    </row>
    <row r="132" spans="2:9" x14ac:dyDescent="0.25">
      <c r="B132" s="156"/>
      <c r="C132" s="153"/>
      <c r="D132" s="156"/>
      <c r="E132" s="156"/>
      <c r="F132" s="153"/>
      <c r="G132" s="156"/>
      <c r="H132" s="156"/>
      <c r="I132" s="153"/>
    </row>
    <row r="133" spans="2:9" x14ac:dyDescent="0.25">
      <c r="B133" s="156"/>
      <c r="C133" s="153"/>
      <c r="D133" s="156"/>
      <c r="E133" s="156"/>
      <c r="F133" s="153"/>
      <c r="G133" s="156"/>
      <c r="H133" s="156"/>
      <c r="I133" s="153"/>
    </row>
    <row r="134" spans="2:9" x14ac:dyDescent="0.25">
      <c r="B134" s="156"/>
      <c r="C134" s="153"/>
      <c r="D134" s="156"/>
      <c r="E134" s="156"/>
      <c r="F134" s="153"/>
      <c r="G134" s="156"/>
      <c r="H134" s="156"/>
      <c r="I134" s="153"/>
    </row>
    <row r="135" spans="2:9" x14ac:dyDescent="0.25">
      <c r="B135" s="156"/>
      <c r="C135" s="153"/>
      <c r="D135" s="156"/>
      <c r="E135" s="156"/>
      <c r="F135" s="153"/>
      <c r="G135" s="156"/>
      <c r="H135" s="156"/>
      <c r="I135" s="153"/>
    </row>
    <row r="136" spans="2:9" x14ac:dyDescent="0.25">
      <c r="B136" s="156"/>
      <c r="C136" s="153"/>
      <c r="D136" s="156"/>
      <c r="E136" s="156"/>
      <c r="F136" s="153"/>
      <c r="G136" s="156"/>
      <c r="H136" s="156"/>
      <c r="I136" s="153"/>
    </row>
    <row r="137" spans="2:9" x14ac:dyDescent="0.25">
      <c r="B137" s="156"/>
      <c r="C137" s="153"/>
      <c r="D137" s="156"/>
      <c r="E137" s="156"/>
      <c r="F137" s="153"/>
      <c r="G137" s="156"/>
      <c r="H137" s="156"/>
      <c r="I137" s="153"/>
    </row>
    <row r="138" spans="2:9" x14ac:dyDescent="0.25">
      <c r="B138" s="156"/>
      <c r="C138" s="153"/>
      <c r="D138" s="156"/>
      <c r="E138" s="156"/>
      <c r="F138" s="153"/>
      <c r="G138" s="156"/>
      <c r="H138" s="156"/>
      <c r="I138" s="153"/>
    </row>
    <row r="139" spans="2:9" x14ac:dyDescent="0.25">
      <c r="B139" s="156"/>
      <c r="C139" s="153"/>
      <c r="D139" s="156"/>
      <c r="E139" s="156"/>
      <c r="F139" s="153"/>
      <c r="G139" s="156"/>
      <c r="H139" s="156"/>
      <c r="I139" s="153"/>
    </row>
    <row r="140" spans="2:9" x14ac:dyDescent="0.25">
      <c r="B140" s="156"/>
      <c r="C140" s="153"/>
      <c r="D140" s="156"/>
      <c r="E140" s="156"/>
      <c r="F140" s="153"/>
      <c r="G140" s="156"/>
      <c r="H140" s="156"/>
      <c r="I140" s="153"/>
    </row>
    <row r="141" spans="2:9" x14ac:dyDescent="0.25">
      <c r="B141" s="156"/>
      <c r="C141" s="153"/>
      <c r="D141" s="156"/>
      <c r="E141" s="156"/>
      <c r="F141" s="153"/>
      <c r="G141" s="156"/>
      <c r="H141" s="156"/>
      <c r="I141" s="153"/>
    </row>
    <row r="142" spans="2:9" x14ac:dyDescent="0.25">
      <c r="B142" s="156"/>
      <c r="C142" s="153"/>
      <c r="D142" s="156"/>
      <c r="E142" s="156"/>
      <c r="F142" s="153"/>
      <c r="G142" s="156"/>
      <c r="H142" s="156"/>
      <c r="I142" s="153"/>
    </row>
    <row r="143" spans="2:9" x14ac:dyDescent="0.25">
      <c r="B143" s="156"/>
      <c r="C143" s="153"/>
      <c r="D143" s="156"/>
      <c r="E143" s="156"/>
      <c r="F143" s="153"/>
      <c r="G143" s="156"/>
      <c r="H143" s="156"/>
      <c r="I143" s="154"/>
    </row>
    <row r="144" spans="2:9" x14ac:dyDescent="0.25">
      <c r="B144" s="156"/>
      <c r="C144" s="153"/>
      <c r="D144" s="156"/>
      <c r="E144" s="156"/>
      <c r="F144" s="153"/>
      <c r="G144" s="156"/>
      <c r="H144" s="156"/>
      <c r="I144" s="153"/>
    </row>
    <row r="145" spans="2:9" x14ac:dyDescent="0.25">
      <c r="B145" s="156"/>
      <c r="C145" s="153"/>
      <c r="D145" s="156"/>
      <c r="E145" s="156"/>
      <c r="F145" s="153"/>
      <c r="G145" s="156"/>
      <c r="H145" s="156"/>
      <c r="I145" s="153"/>
    </row>
    <row r="146" spans="2:9" x14ac:dyDescent="0.25">
      <c r="B146" s="156"/>
      <c r="C146" s="153"/>
      <c r="D146" s="156"/>
      <c r="E146" s="156"/>
      <c r="F146" s="153"/>
      <c r="G146" s="156"/>
      <c r="H146" s="156"/>
      <c r="I146" s="153"/>
    </row>
    <row r="147" spans="2:9" x14ac:dyDescent="0.25">
      <c r="B147" s="156"/>
      <c r="C147" s="153"/>
      <c r="D147" s="156"/>
      <c r="E147" s="156"/>
      <c r="F147" s="153"/>
      <c r="G147" s="156"/>
      <c r="H147" s="156"/>
      <c r="I147" s="153"/>
    </row>
    <row r="148" spans="2:9" x14ac:dyDescent="0.25">
      <c r="B148" s="156"/>
      <c r="C148" s="153"/>
      <c r="D148" s="156"/>
      <c r="E148" s="156"/>
      <c r="F148" s="153"/>
      <c r="G148" s="156"/>
      <c r="H148" s="156"/>
      <c r="I148" s="153"/>
    </row>
    <row r="149" spans="2:9" x14ac:dyDescent="0.25">
      <c r="B149" s="156"/>
      <c r="C149" s="153"/>
      <c r="D149" s="156"/>
      <c r="E149" s="156"/>
      <c r="F149" s="153"/>
      <c r="G149" s="156"/>
      <c r="H149" s="156"/>
      <c r="I149" s="153"/>
    </row>
    <row r="150" spans="2:9" x14ac:dyDescent="0.25">
      <c r="B150" s="156"/>
      <c r="C150" s="153"/>
      <c r="D150" s="156"/>
      <c r="E150" s="156"/>
      <c r="F150" s="153"/>
      <c r="G150" s="156"/>
      <c r="H150" s="156"/>
      <c r="I150" s="153"/>
    </row>
    <row r="151" spans="2:9" x14ac:dyDescent="0.25">
      <c r="B151" s="156"/>
      <c r="C151" s="153"/>
      <c r="D151" s="156"/>
      <c r="E151" s="156"/>
      <c r="F151" s="153"/>
      <c r="G151" s="156"/>
      <c r="H151" s="156"/>
      <c r="I151" s="153"/>
    </row>
    <row r="152" spans="2:9" x14ac:dyDescent="0.25">
      <c r="B152" s="156"/>
      <c r="C152" s="153"/>
      <c r="D152" s="156"/>
      <c r="E152" s="156"/>
      <c r="F152" s="153"/>
      <c r="G152" s="156"/>
      <c r="H152" s="156"/>
      <c r="I152" s="153"/>
    </row>
    <row r="153" spans="2:9" x14ac:dyDescent="0.25">
      <c r="B153" s="156"/>
      <c r="C153" s="153"/>
      <c r="D153" s="156"/>
      <c r="E153" s="156"/>
      <c r="F153" s="153"/>
      <c r="G153" s="156"/>
      <c r="H153" s="156"/>
      <c r="I153" s="153"/>
    </row>
    <row r="154" spans="2:9" x14ac:dyDescent="0.25">
      <c r="B154" s="156"/>
      <c r="C154" s="153"/>
      <c r="D154" s="156"/>
      <c r="E154" s="156"/>
      <c r="F154" s="153"/>
      <c r="G154" s="156"/>
      <c r="H154" s="156"/>
      <c r="I154" s="153"/>
    </row>
    <row r="155" spans="2:9" x14ac:dyDescent="0.25">
      <c r="B155" s="156"/>
      <c r="C155" s="153"/>
      <c r="D155" s="156"/>
      <c r="E155" s="156"/>
      <c r="F155" s="153"/>
      <c r="G155" s="156"/>
      <c r="H155" s="156"/>
      <c r="I155" s="153"/>
    </row>
    <row r="156" spans="2:9" x14ac:dyDescent="0.25">
      <c r="B156" s="156"/>
      <c r="C156" s="153"/>
      <c r="D156" s="156"/>
      <c r="E156" s="156"/>
      <c r="F156" s="153"/>
      <c r="G156" s="156"/>
      <c r="H156" s="156"/>
      <c r="I156" s="153"/>
    </row>
    <row r="157" spans="2:9" x14ac:dyDescent="0.25">
      <c r="B157" s="156"/>
      <c r="C157" s="153"/>
      <c r="D157" s="156"/>
      <c r="E157" s="156"/>
      <c r="F157" s="153"/>
      <c r="G157" s="156"/>
      <c r="H157" s="156"/>
      <c r="I157" s="153"/>
    </row>
    <row r="158" spans="2:9" x14ac:dyDescent="0.25">
      <c r="B158" s="156"/>
      <c r="C158" s="153"/>
      <c r="D158" s="156"/>
      <c r="E158" s="156"/>
      <c r="F158" s="153"/>
      <c r="G158" s="156"/>
      <c r="H158" s="156"/>
      <c r="I158" s="153"/>
    </row>
    <row r="159" spans="2:9" x14ac:dyDescent="0.25">
      <c r="B159" s="156"/>
      <c r="C159" s="153"/>
      <c r="D159" s="156"/>
      <c r="E159" s="156"/>
      <c r="F159" s="153"/>
      <c r="G159" s="156"/>
      <c r="H159" s="156"/>
      <c r="I159" s="153"/>
    </row>
    <row r="160" spans="2:9" x14ac:dyDescent="0.25">
      <c r="B160" s="156"/>
      <c r="C160" s="153"/>
      <c r="D160" s="156"/>
      <c r="E160" s="156"/>
      <c r="F160" s="153"/>
      <c r="G160" s="156"/>
      <c r="H160" s="156"/>
      <c r="I160" s="153"/>
    </row>
    <row r="161" spans="2:9" x14ac:dyDescent="0.25">
      <c r="B161" s="156"/>
      <c r="C161" s="153"/>
      <c r="D161" s="156"/>
      <c r="E161" s="156"/>
      <c r="F161" s="153"/>
      <c r="G161" s="156"/>
      <c r="H161" s="156"/>
      <c r="I161" s="153"/>
    </row>
    <row r="162" spans="2:9" x14ac:dyDescent="0.25">
      <c r="B162" s="156"/>
      <c r="C162" s="153"/>
      <c r="D162" s="156"/>
      <c r="E162" s="156"/>
      <c r="F162" s="153"/>
      <c r="G162" s="156"/>
      <c r="H162" s="156"/>
      <c r="I162" s="153"/>
    </row>
    <row r="163" spans="2:9" x14ac:dyDescent="0.25">
      <c r="B163" s="156"/>
      <c r="C163" s="153"/>
      <c r="D163" s="156"/>
      <c r="E163" s="156"/>
      <c r="F163" s="153"/>
      <c r="G163" s="156"/>
      <c r="H163" s="156"/>
      <c r="I163" s="153"/>
    </row>
    <row r="164" spans="2:9" x14ac:dyDescent="0.25">
      <c r="B164" s="156"/>
      <c r="C164" s="153"/>
      <c r="D164" s="156"/>
      <c r="E164" s="156"/>
      <c r="F164" s="153"/>
      <c r="G164" s="156"/>
      <c r="H164" s="156"/>
      <c r="I164" s="153"/>
    </row>
    <row r="165" spans="2:9" x14ac:dyDescent="0.25">
      <c r="B165" s="156"/>
      <c r="C165" s="153"/>
      <c r="D165" s="156"/>
      <c r="E165" s="156"/>
      <c r="F165" s="153"/>
      <c r="G165" s="156"/>
      <c r="H165" s="156"/>
      <c r="I165" s="153"/>
    </row>
    <row r="166" spans="2:9" x14ac:dyDescent="0.25">
      <c r="B166" s="156"/>
      <c r="C166" s="153"/>
      <c r="D166" s="156"/>
      <c r="E166" s="156"/>
      <c r="F166" s="153"/>
      <c r="G166" s="156"/>
      <c r="H166" s="156"/>
      <c r="I166" s="153"/>
    </row>
    <row r="167" spans="2:9" x14ac:dyDescent="0.25">
      <c r="B167" s="156"/>
      <c r="C167" s="153"/>
      <c r="D167" s="156"/>
      <c r="E167" s="156"/>
      <c r="F167" s="153"/>
      <c r="G167" s="156"/>
      <c r="H167" s="156"/>
      <c r="I167" s="153"/>
    </row>
    <row r="168" spans="2:9" x14ac:dyDescent="0.25">
      <c r="B168" s="156"/>
      <c r="C168" s="153"/>
      <c r="D168" s="156"/>
      <c r="E168" s="156"/>
      <c r="F168" s="153"/>
      <c r="G168" s="156"/>
      <c r="H168" s="156"/>
      <c r="I168" s="153"/>
    </row>
    <row r="169" spans="2:9" x14ac:dyDescent="0.25">
      <c r="B169" s="156"/>
      <c r="C169" s="153"/>
      <c r="D169" s="156"/>
      <c r="E169" s="156"/>
      <c r="F169" s="153"/>
      <c r="G169" s="156"/>
      <c r="H169" s="156"/>
      <c r="I169" s="153"/>
    </row>
    <row r="170" spans="2:9" x14ac:dyDescent="0.25">
      <c r="B170" s="156"/>
      <c r="C170" s="153"/>
      <c r="D170" s="156"/>
      <c r="E170" s="156"/>
      <c r="F170" s="153"/>
      <c r="G170" s="156"/>
      <c r="H170" s="156"/>
      <c r="I170" s="153"/>
    </row>
    <row r="171" spans="2:9" x14ac:dyDescent="0.25">
      <c r="B171" s="156"/>
      <c r="C171" s="153"/>
      <c r="D171" s="156"/>
      <c r="E171" s="156"/>
      <c r="F171" s="153"/>
      <c r="G171" s="156"/>
      <c r="H171" s="156"/>
      <c r="I171" s="153"/>
    </row>
    <row r="172" spans="2:9" x14ac:dyDescent="0.25">
      <c r="B172" s="156"/>
      <c r="C172" s="153"/>
      <c r="D172" s="156"/>
      <c r="E172" s="156"/>
      <c r="F172" s="153"/>
      <c r="G172" s="156"/>
      <c r="H172" s="156"/>
      <c r="I172" s="153"/>
    </row>
    <row r="173" spans="2:9" x14ac:dyDescent="0.25">
      <c r="B173" s="156"/>
      <c r="C173" s="153"/>
      <c r="D173" s="156"/>
      <c r="E173" s="156"/>
      <c r="F173" s="153"/>
      <c r="G173" s="156"/>
      <c r="H173" s="156"/>
      <c r="I173" s="153"/>
    </row>
    <row r="174" spans="2:9" x14ac:dyDescent="0.25">
      <c r="B174" s="156"/>
      <c r="C174" s="153"/>
      <c r="D174" s="156"/>
      <c r="E174" s="156"/>
      <c r="F174" s="153"/>
      <c r="G174" s="156"/>
      <c r="H174" s="156"/>
      <c r="I174" s="153"/>
    </row>
    <row r="175" spans="2:9" x14ac:dyDescent="0.25">
      <c r="B175" s="156"/>
      <c r="C175" s="153"/>
      <c r="D175" s="156"/>
      <c r="E175" s="156"/>
      <c r="F175" s="153"/>
      <c r="G175" s="156"/>
      <c r="H175" s="156"/>
      <c r="I175" s="153"/>
    </row>
    <row r="176" spans="2:9" x14ac:dyDescent="0.25">
      <c r="B176" s="156"/>
      <c r="C176" s="153"/>
      <c r="D176" s="156"/>
      <c r="E176" s="156"/>
      <c r="F176" s="153"/>
      <c r="G176" s="156"/>
      <c r="H176" s="156"/>
      <c r="I176" s="153"/>
    </row>
    <row r="177" spans="2:9" x14ac:dyDescent="0.25">
      <c r="B177" s="156"/>
      <c r="C177" s="153"/>
      <c r="D177" s="156"/>
      <c r="E177" s="156"/>
      <c r="F177" s="153"/>
      <c r="G177" s="156"/>
      <c r="H177" s="156"/>
      <c r="I177" s="153"/>
    </row>
    <row r="178" spans="2:9" x14ac:dyDescent="0.25">
      <c r="B178" s="156"/>
      <c r="C178" s="153"/>
      <c r="D178" s="156"/>
      <c r="E178" s="156"/>
      <c r="F178" s="153"/>
      <c r="G178" s="156"/>
      <c r="H178" s="156"/>
      <c r="I178" s="153"/>
    </row>
    <row r="179" spans="2:9" x14ac:dyDescent="0.25">
      <c r="B179" s="156"/>
      <c r="C179" s="153"/>
      <c r="D179" s="156"/>
      <c r="E179" s="156"/>
      <c r="F179" s="153"/>
      <c r="G179" s="156"/>
      <c r="H179" s="156"/>
      <c r="I179" s="153"/>
    </row>
    <row r="180" spans="2:9" x14ac:dyDescent="0.25">
      <c r="B180" s="156"/>
      <c r="C180" s="153"/>
      <c r="D180" s="156"/>
      <c r="E180" s="156"/>
      <c r="F180" s="153"/>
      <c r="G180" s="156"/>
      <c r="H180" s="156"/>
      <c r="I180" s="153"/>
    </row>
    <row r="181" spans="2:9" x14ac:dyDescent="0.25">
      <c r="B181" s="156"/>
      <c r="C181" s="153"/>
      <c r="D181" s="156"/>
      <c r="E181" s="156"/>
      <c r="F181" s="153"/>
      <c r="G181" s="156"/>
      <c r="H181" s="156"/>
      <c r="I181" s="153"/>
    </row>
    <row r="182" spans="2:9" x14ac:dyDescent="0.25">
      <c r="B182" s="156"/>
      <c r="C182" s="153"/>
      <c r="D182" s="156"/>
      <c r="E182" s="156"/>
      <c r="F182" s="153"/>
      <c r="G182" s="156"/>
      <c r="H182" s="156"/>
      <c r="I182" s="153"/>
    </row>
    <row r="183" spans="2:9" x14ac:dyDescent="0.25">
      <c r="B183" s="156"/>
      <c r="C183" s="153"/>
      <c r="D183" s="156"/>
      <c r="E183" s="156"/>
      <c r="F183" s="153"/>
      <c r="G183" s="156"/>
      <c r="H183" s="156"/>
      <c r="I183" s="153"/>
    </row>
    <row r="184" spans="2:9" x14ac:dyDescent="0.25">
      <c r="B184" s="156"/>
      <c r="C184" s="153"/>
      <c r="D184" s="156"/>
      <c r="E184" s="156"/>
      <c r="F184" s="153"/>
      <c r="G184" s="156"/>
      <c r="H184" s="156"/>
      <c r="I184" s="153"/>
    </row>
    <row r="185" spans="2:9" x14ac:dyDescent="0.25">
      <c r="B185" s="156"/>
      <c r="C185" s="153"/>
      <c r="D185" s="156"/>
      <c r="E185" s="156"/>
      <c r="F185" s="153"/>
      <c r="G185" s="156"/>
      <c r="H185" s="156"/>
      <c r="I185" s="153"/>
    </row>
    <row r="186" spans="2:9" x14ac:dyDescent="0.25">
      <c r="B186" s="156"/>
      <c r="C186" s="153"/>
      <c r="D186" s="156"/>
      <c r="E186" s="156"/>
      <c r="F186" s="153"/>
      <c r="G186" s="156"/>
      <c r="H186" s="156"/>
      <c r="I186" s="153"/>
    </row>
    <row r="187" spans="2:9" x14ac:dyDescent="0.25">
      <c r="B187" s="156"/>
      <c r="C187" s="153"/>
      <c r="D187" s="156"/>
      <c r="E187" s="156"/>
      <c r="F187" s="153"/>
      <c r="G187" s="156"/>
      <c r="H187" s="156"/>
      <c r="I187" s="153"/>
    </row>
    <row r="188" spans="2:9" x14ac:dyDescent="0.25">
      <c r="B188" s="156"/>
      <c r="C188" s="153"/>
      <c r="D188" s="156"/>
      <c r="E188" s="156"/>
      <c r="F188" s="153"/>
      <c r="G188" s="156"/>
      <c r="H188" s="156"/>
      <c r="I188" s="153"/>
    </row>
    <row r="189" spans="2:9" x14ac:dyDescent="0.25">
      <c r="B189" s="156"/>
      <c r="C189" s="153"/>
      <c r="D189" s="156"/>
      <c r="E189" s="156"/>
      <c r="F189" s="153"/>
      <c r="G189" s="156"/>
      <c r="H189" s="156"/>
      <c r="I189" s="153"/>
    </row>
    <row r="190" spans="2:9" x14ac:dyDescent="0.25">
      <c r="B190" s="156"/>
      <c r="C190" s="153"/>
      <c r="D190" s="156"/>
      <c r="E190" s="156"/>
      <c r="F190" s="153"/>
      <c r="G190" s="156"/>
      <c r="H190" s="156"/>
      <c r="I190" s="153"/>
    </row>
    <row r="191" spans="2:9" x14ac:dyDescent="0.25">
      <c r="B191" s="156"/>
      <c r="C191" s="153"/>
      <c r="D191" s="156"/>
      <c r="E191" s="156"/>
      <c r="F191" s="153"/>
      <c r="G191" s="156"/>
      <c r="H191" s="156"/>
      <c r="I191" s="153"/>
    </row>
    <row r="192" spans="2:9" x14ac:dyDescent="0.25">
      <c r="B192" s="156"/>
      <c r="C192" s="153"/>
      <c r="D192" s="156"/>
      <c r="E192" s="156"/>
      <c r="F192" s="153"/>
      <c r="G192" s="156"/>
      <c r="H192" s="156"/>
      <c r="I192" s="153"/>
    </row>
    <row r="193" spans="2:9" x14ac:dyDescent="0.25">
      <c r="B193" s="156"/>
      <c r="C193" s="153"/>
      <c r="D193" s="156"/>
      <c r="E193" s="156"/>
      <c r="F193" s="153"/>
      <c r="G193" s="156"/>
      <c r="H193" s="156"/>
      <c r="I193" s="153"/>
    </row>
    <row r="194" spans="2:9" x14ac:dyDescent="0.25">
      <c r="B194" s="156"/>
      <c r="C194" s="153"/>
      <c r="D194" s="156"/>
      <c r="E194" s="156"/>
      <c r="F194" s="153"/>
      <c r="G194" s="156"/>
      <c r="H194" s="156"/>
      <c r="I194" s="153"/>
    </row>
    <row r="195" spans="2:9" x14ac:dyDescent="0.25">
      <c r="B195" s="156"/>
      <c r="C195" s="153"/>
      <c r="D195" s="156"/>
      <c r="E195" s="156"/>
      <c r="F195" s="153"/>
      <c r="G195" s="156"/>
      <c r="H195" s="156"/>
      <c r="I195" s="153"/>
    </row>
    <row r="196" spans="2:9" x14ac:dyDescent="0.25">
      <c r="B196" s="156"/>
      <c r="C196" s="153"/>
      <c r="D196" s="156"/>
      <c r="E196" s="156"/>
      <c r="F196" s="153"/>
      <c r="G196" s="156"/>
      <c r="H196" s="156"/>
      <c r="I196" s="153"/>
    </row>
    <row r="197" spans="2:9" x14ac:dyDescent="0.25">
      <c r="B197" s="156"/>
      <c r="C197" s="153"/>
      <c r="D197" s="156"/>
      <c r="E197" s="156"/>
      <c r="F197" s="153"/>
      <c r="G197" s="156"/>
      <c r="H197" s="156"/>
      <c r="I197" s="153"/>
    </row>
    <row r="198" spans="2:9" x14ac:dyDescent="0.25">
      <c r="B198" s="156"/>
      <c r="C198" s="153"/>
      <c r="D198" s="156"/>
      <c r="E198" s="156"/>
      <c r="F198" s="153"/>
      <c r="G198" s="156"/>
      <c r="H198" s="156"/>
      <c r="I198" s="153"/>
    </row>
    <row r="199" spans="2:9" x14ac:dyDescent="0.25">
      <c r="B199" s="156"/>
      <c r="C199" s="153"/>
      <c r="D199" s="156"/>
      <c r="E199" s="156"/>
      <c r="F199" s="153"/>
      <c r="G199" s="156"/>
      <c r="H199" s="156"/>
      <c r="I199" s="153"/>
    </row>
    <row r="200" spans="2:9" x14ac:dyDescent="0.25">
      <c r="B200" s="156"/>
      <c r="C200" s="153"/>
      <c r="D200" s="156"/>
      <c r="E200" s="156"/>
      <c r="F200" s="153"/>
      <c r="G200" s="156"/>
      <c r="H200" s="156"/>
      <c r="I200" s="153"/>
    </row>
    <row r="201" spans="2:9" x14ac:dyDescent="0.25">
      <c r="B201" s="156"/>
      <c r="C201" s="153"/>
      <c r="D201" s="156"/>
      <c r="E201" s="156"/>
      <c r="F201" s="153"/>
      <c r="G201" s="156"/>
      <c r="H201" s="156"/>
      <c r="I201" s="153"/>
    </row>
    <row r="202" spans="2:9" x14ac:dyDescent="0.25">
      <c r="B202" s="156"/>
      <c r="C202" s="153"/>
      <c r="D202" s="156"/>
      <c r="E202" s="156"/>
      <c r="F202" s="153"/>
      <c r="G202" s="156"/>
      <c r="H202" s="156"/>
      <c r="I202" s="153"/>
    </row>
    <row r="203" spans="2:9" x14ac:dyDescent="0.25">
      <c r="B203" s="156"/>
      <c r="C203" s="153"/>
      <c r="D203" s="156"/>
      <c r="E203" s="156"/>
      <c r="F203" s="153"/>
      <c r="G203" s="156"/>
      <c r="H203" s="156"/>
      <c r="I203" s="153"/>
    </row>
    <row r="204" spans="2:9" x14ac:dyDescent="0.25">
      <c r="B204" s="156"/>
      <c r="C204" s="153"/>
      <c r="D204" s="156"/>
      <c r="E204" s="156"/>
      <c r="F204" s="153"/>
      <c r="G204" s="156"/>
      <c r="H204" s="156"/>
      <c r="I204" s="153"/>
    </row>
    <row r="205" spans="2:9" x14ac:dyDescent="0.25">
      <c r="B205" s="156"/>
      <c r="C205" s="153"/>
      <c r="D205" s="156"/>
      <c r="E205" s="156"/>
      <c r="F205" s="153"/>
      <c r="G205" s="156"/>
      <c r="H205" s="156"/>
      <c r="I205" s="153"/>
    </row>
    <row r="206" spans="2:9" x14ac:dyDescent="0.25">
      <c r="B206" s="156"/>
      <c r="C206" s="153"/>
      <c r="D206" s="156"/>
      <c r="E206" s="156"/>
      <c r="F206" s="153"/>
      <c r="G206" s="156"/>
      <c r="H206" s="156"/>
      <c r="I206" s="153"/>
    </row>
  </sheetData>
  <autoFilter ref="E9:F9" xr:uid="{11FF93C6-3CFF-425F-AF1A-1BECF29F3CBA}"/>
  <sortState xmlns:xlrd2="http://schemas.microsoft.com/office/spreadsheetml/2017/richdata2" ref="B10:C214">
    <sortCondition ref="B10:B214"/>
  </sortState>
  <mergeCells count="8">
    <mergeCell ref="H75:H76"/>
    <mergeCell ref="I75:I76"/>
    <mergeCell ref="B8:I8"/>
    <mergeCell ref="C1:F3"/>
    <mergeCell ref="B4:I4"/>
    <mergeCell ref="B5:I5"/>
    <mergeCell ref="B6:I6"/>
    <mergeCell ref="B7:I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fitToHeight="0" orientation="portrait" r:id="rId1"/>
  <headerFooter>
    <oddHeader xml:space="preserve">&amp;L &amp;CCompanhia de Desenvolvimento dos Vales do São Francisco e do Parnaíba
</oddHeader>
    <oddFooter xml:space="preserve">&amp;L &amp;CCODEVASF -  6ªSR Juazeiro / BA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12</vt:i4>
      </vt:variant>
    </vt:vector>
  </HeadingPairs>
  <TitlesOfParts>
    <vt:vector size="20" baseType="lpstr">
      <vt:lpstr>RESUMO</vt:lpstr>
      <vt:lpstr>CAPA EM CBUQ</vt:lpstr>
      <vt:lpstr> MC</vt:lpstr>
      <vt:lpstr>COMP.</vt:lpstr>
      <vt:lpstr>CRONOGRAMA</vt:lpstr>
      <vt:lpstr>MOB E DESM</vt:lpstr>
      <vt:lpstr>MAT BETUMINSO</vt:lpstr>
      <vt:lpstr>Dist. Mat Betuminoso</vt:lpstr>
      <vt:lpstr>' MC'!Area_de_impressao</vt:lpstr>
      <vt:lpstr>'CAPA EM CBUQ'!Area_de_impressao</vt:lpstr>
      <vt:lpstr>COMP.!Area_de_impressao</vt:lpstr>
      <vt:lpstr>CRONOGRAMA!Area_de_impressao</vt:lpstr>
      <vt:lpstr>'Dist. Mat Betuminoso'!Area_de_impressao</vt:lpstr>
      <vt:lpstr>'MAT BETUMINSO'!Area_de_impressao</vt:lpstr>
      <vt:lpstr>'MOB E DESM'!Area_de_impressao</vt:lpstr>
      <vt:lpstr>RESUMO!Area_de_impressao</vt:lpstr>
      <vt:lpstr>' MC'!Titulos_de_impressao</vt:lpstr>
      <vt:lpstr>'CAPA EM CBUQ'!Titulos_de_impressao</vt:lpstr>
      <vt:lpstr>COMP.!Titulos_de_impressao</vt:lpstr>
      <vt:lpstr>'Dist. Mat Betuminoso'!Titulos_de_impressao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Alex Braga de Araujo</cp:lastModifiedBy>
  <cp:revision>0</cp:revision>
  <cp:lastPrinted>2022-11-17T15:14:41Z</cp:lastPrinted>
  <dcterms:created xsi:type="dcterms:W3CDTF">2022-07-04T06:49:40Z</dcterms:created>
  <dcterms:modified xsi:type="dcterms:W3CDTF">2022-11-17T15:14:45Z</dcterms:modified>
</cp:coreProperties>
</file>