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c23552a80fef9f/Área de Trabalho/Orçamento Barra/Corrigido/"/>
    </mc:Choice>
  </mc:AlternateContent>
  <xr:revisionPtr revIDLastSave="0" documentId="8_{52724E19-3ABC-4870-B050-49AAFDF41DDC}" xr6:coauthVersionLast="47" xr6:coauthVersionMax="47" xr10:uidLastSave="{00000000-0000-0000-0000-000000000000}"/>
  <bookViews>
    <workbookView xWindow="-120" yWindow="-120" windowWidth="29040" windowHeight="15720" tabRatio="913" xr2:uid="{00000000-000D-0000-FFFF-FFFF00000000}"/>
  </bookViews>
  <sheets>
    <sheet name="COMPOSIÇÃO BDI" sheetId="25" r:id="rId1"/>
    <sheet name="DADOS" sheetId="26" r:id="rId2"/>
    <sheet name="Quantitativos ruas 11,12 e 13" sheetId="7" state="hidden" r:id="rId3"/>
  </sheets>
  <externalReferences>
    <externalReference r:id="rId4"/>
  </externalReferences>
  <definedNames>
    <definedName name="_xlnm.Print_Area" localSheetId="0">'COMPOSIÇÃO BDI'!$B$2:$H$80</definedName>
    <definedName name="TiposObras">[1]DADOS!$A$1:$A$6</definedName>
    <definedName name="_xlnm.Print_Titles" localSheetId="0">'COMPOSIÇÃO BDI'!$2:$16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9" i="25" l="1"/>
  <c r="K71" i="25"/>
  <c r="J71" i="25"/>
  <c r="I71" i="25"/>
  <c r="H71" i="25"/>
  <c r="H55" i="25"/>
  <c r="H22" i="25"/>
  <c r="P11" i="26"/>
  <c r="O11" i="26"/>
  <c r="N11" i="26"/>
  <c r="M11" i="26"/>
  <c r="L11" i="26"/>
  <c r="K11" i="26"/>
  <c r="J11" i="26"/>
  <c r="I11" i="26"/>
  <c r="H11" i="26"/>
  <c r="B11" i="26"/>
  <c r="C11" i="26"/>
  <c r="D11" i="26"/>
  <c r="K29" i="25"/>
  <c r="J29" i="25"/>
  <c r="I29" i="25"/>
  <c r="K23" i="25"/>
  <c r="K21" i="25"/>
  <c r="K20" i="25"/>
  <c r="J23" i="25"/>
  <c r="J21" i="25"/>
  <c r="J20" i="25"/>
  <c r="I23" i="25"/>
  <c r="I21" i="25"/>
  <c r="I20" i="25"/>
  <c r="I17" i="25"/>
  <c r="G11" i="26"/>
  <c r="K22" i="25" s="1"/>
  <c r="F11" i="26"/>
  <c r="J22" i="25" s="1"/>
  <c r="E11" i="26"/>
  <c r="I22" i="25" s="1"/>
  <c r="K55" i="25"/>
  <c r="J55" i="25"/>
  <c r="I55" i="25"/>
  <c r="H39" i="25" l="1"/>
  <c r="H37" i="25"/>
  <c r="H36" i="25"/>
  <c r="H43" i="25" l="1"/>
  <c r="H42" i="25"/>
  <c r="H41" i="25"/>
  <c r="H58" i="25" l="1"/>
  <c r="H74" i="25"/>
  <c r="H59" i="25"/>
  <c r="H75" i="25"/>
  <c r="H57" i="25"/>
  <c r="H73" i="25" s="1"/>
  <c r="H107" i="25"/>
  <c r="G107" i="25"/>
  <c r="F107" i="25"/>
  <c r="G95" i="25"/>
  <c r="F95" i="25"/>
  <c r="E95" i="25"/>
  <c r="B46" i="25"/>
  <c r="B63" i="25" s="1"/>
  <c r="H40" i="25"/>
  <c r="H38" i="25"/>
  <c r="H62" i="25" l="1"/>
  <c r="H78" i="25"/>
  <c r="E117" i="25"/>
  <c r="F117" i="25"/>
  <c r="F116" i="25"/>
  <c r="G117" i="25"/>
  <c r="G116" i="25"/>
  <c r="H45" i="25"/>
  <c r="H24" i="25"/>
  <c r="H29" i="25" s="1"/>
  <c r="F118" i="25" l="1"/>
  <c r="G118" i="25"/>
  <c r="H114" i="25" l="1"/>
  <c r="H95" i="25"/>
  <c r="H117" i="25" l="1"/>
  <c r="H116" i="25"/>
  <c r="H118" i="25" l="1"/>
  <c r="H120" i="25" s="1"/>
  <c r="G114" i="25"/>
  <c r="F114" i="25"/>
  <c r="E114" i="25"/>
  <c r="E107" i="25"/>
  <c r="E116" i="25" s="1"/>
  <c r="E118" i="25" s="1"/>
  <c r="F120" i="25" l="1"/>
  <c r="G120" i="25"/>
  <c r="E120" i="25"/>
  <c r="C10" i="7" l="1"/>
  <c r="B1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Tassio Jorge Figueiredo de Araujo</author>
  </authors>
  <commentList>
    <comment ref="B15" authorId="0" shapeId="0" xr:uid="{5AEF9AF3-5D54-4A66-A9E9-738018343147}">
      <text>
        <r>
          <rPr>
            <b/>
            <sz val="9"/>
            <color indexed="81"/>
            <rFont val="Segoe UI"/>
            <family val="2"/>
          </rPr>
          <t>Tassio Jorge Figueiredo de Araujo:</t>
        </r>
        <r>
          <rPr>
            <sz val="9"/>
            <color indexed="81"/>
            <rFont val="Segoe UI"/>
            <family val="2"/>
          </rPr>
          <t xml:space="preserve">
SELECIONAR O TIPO PREDOMINANTE DA OBRA P/ AJUSTAR OS LIMITES</t>
        </r>
      </text>
    </comment>
  </commentList>
</comments>
</file>

<file path=xl/sharedStrings.xml><?xml version="1.0" encoding="utf-8"?>
<sst xmlns="http://schemas.openxmlformats.org/spreadsheetml/2006/main" count="252" uniqueCount="143">
  <si>
    <t>ITEM</t>
  </si>
  <si>
    <t>TOTAL</t>
  </si>
  <si>
    <t>CÓDIGO</t>
  </si>
  <si>
    <t>DESCRIÇÃO</t>
  </si>
  <si>
    <t>TRIBUTOS</t>
  </si>
  <si>
    <t>AC</t>
  </si>
  <si>
    <t>DF</t>
  </si>
  <si>
    <t>R</t>
  </si>
  <si>
    <t>L</t>
  </si>
  <si>
    <t>PAVIMENTAÇÃO POVOADO TRAIPU(TRAIPU )</t>
  </si>
  <si>
    <t>PARALELEPIPEDO E MEIO FIO</t>
  </si>
  <si>
    <t>RUAS</t>
  </si>
  <si>
    <t>A(M²)</t>
  </si>
  <si>
    <t>P(M)</t>
  </si>
  <si>
    <t>RUA 11</t>
  </si>
  <si>
    <t>RUA 12</t>
  </si>
  <si>
    <t>RUA 13</t>
  </si>
  <si>
    <t>DETALHAMENTO BDI - SERVIÇOS</t>
  </si>
  <si>
    <t>ITEM FORM</t>
  </si>
  <si>
    <t>ISS</t>
  </si>
  <si>
    <t>PIS</t>
  </si>
  <si>
    <t>COFINS</t>
  </si>
  <si>
    <t>ADMINISTRAÇÃO CENTRAL RATEIO</t>
  </si>
  <si>
    <t>DESPESAS FINANCEIRAS</t>
  </si>
  <si>
    <t>RISCO, SEGURO E GARANTIA</t>
  </si>
  <si>
    <t>EXPECTATIVA DE LUCRO</t>
  </si>
  <si>
    <t>05.01</t>
  </si>
  <si>
    <t>05.02</t>
  </si>
  <si>
    <t>05.03</t>
  </si>
  <si>
    <t>Considerações:</t>
  </si>
  <si>
    <t>Acórdão  Nº 2622/2013 – TCU – Plenário de 25/9/2013</t>
  </si>
  <si>
    <t>Acórdão nº 2369/2011 - TCU - Plenário - DOU nº174 em 20 de setembro de 2011</t>
  </si>
  <si>
    <t>Contribuição Sobre Receita Bruta</t>
  </si>
  <si>
    <t>05.04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</si>
  <si>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</si>
  <si>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</si>
  <si>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</si>
  <si>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</si>
  <si>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</si>
  <si>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</si>
  <si>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</si>
  <si>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</si>
  <si>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</si>
  <si>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</si>
  <si>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</si>
  <si>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</si>
  <si>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</si>
  <si>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</si>
  <si>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</si>
  <si>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</si>
  <si>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</si>
  <si>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</si>
  <si>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</si>
  <si>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</si>
  <si>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</si>
  <si>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</si>
  <si>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</si>
  <si>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</si>
  <si>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</si>
  <si>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</si>
  <si>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</si>
  <si>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</si>
  <si>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</si>
  <si>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</si>
  <si>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</si>
  <si>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</si>
  <si>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</si>
  <si>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</si>
  <si>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</si>
  <si>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</si>
  <si>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</si>
  <si>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</si>
  <si>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</si>
  <si>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</si>
  <si>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</si>
  <si>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</si>
  <si>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</si>
  <si>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</si>
  <si>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</si>
  <si>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</si>
  <si>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</si>
  <si>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</si>
  <si>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</si>
  <si>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</si>
  <si>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</si>
  <si>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</si>
  <si>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</si>
  <si>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</si>
  <si>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</si>
  <si>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</si>
  <si>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</si>
  <si>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</si>
  <si>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</si>
  <si>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</si>
  <si>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</si>
  <si>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</si>
  <si>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</si>
  <si>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</si>
  <si>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HORISTA %</t>
  </si>
  <si>
    <t>MENSALISTA %</t>
  </si>
  <si>
    <t>COM DESONERAÇÃO</t>
  </si>
  <si>
    <t>SEM DESONERAÇÃO</t>
  </si>
  <si>
    <t>ENCARGOS SOCIAIS SOBRE A MÃO DE OBRA</t>
  </si>
  <si>
    <t>Companhia de Desenvolvimento dos Vales do São Francisco e do Parnaíba</t>
  </si>
  <si>
    <t>5ª Superintendência Regional</t>
  </si>
  <si>
    <t>Gerência Regional de Infraestrutura</t>
  </si>
  <si>
    <t>Ministério do Desenvolvimento Regional - MDR</t>
  </si>
  <si>
    <t>Unidade Regional de Estudos e Projetos</t>
  </si>
  <si>
    <t>BDI SEM DESONERAÇÃO</t>
  </si>
  <si>
    <t>I</t>
  </si>
  <si>
    <t>BDI (%) = ((((1+AC+R)*(1+DF)*(1+L))/(1-I))-1)</t>
  </si>
  <si>
    <t>BDI COM DESONERAÇÃO</t>
  </si>
  <si>
    <t>* VALORES DE PIS E COFINS SEGUNDO ALIQ MÁXIMA DO REGIME CUMULATIVO</t>
  </si>
  <si>
    <t>** PERCENTUAL DE CSRB EM CONFORMIDADE COM AS LEIS Nº 12.546/2011 E Nº 13.161/2015</t>
  </si>
  <si>
    <t>P25</t>
  </si>
  <si>
    <t>P50</t>
  </si>
  <si>
    <t>P75</t>
  </si>
  <si>
    <t>CONSTRUÇÃO DE EDIFÍCIOS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</si>
  <si>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</si>
  <si>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</si>
  <si>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</si>
  <si>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</si>
  <si>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MEDIA</t>
  </si>
  <si>
    <t>1º QUARTIL</t>
  </si>
  <si>
    <t>3º QUARTIL</t>
  </si>
  <si>
    <t>CONSTRUÇÃO DE EDIFÍCIOS 1</t>
  </si>
  <si>
    <t>CONSTRUÇÃO DE EDIFÍCIOS 2</t>
  </si>
  <si>
    <t>CONSTRUÇÃO DE EDIFÍCIOS 3</t>
  </si>
  <si>
    <t>CONSTRUÇÃO DE RODOVIAS E FERROVIAS 1</t>
  </si>
  <si>
    <t>CONSTRUÇÃO DE RODOVIAS E FERROVIAS 2</t>
  </si>
  <si>
    <t>CONSTRUÇÃO DE RODOVIAS E FERROVIAS 3</t>
  </si>
  <si>
    <t>CONSTRUÇÃO DE REDES DE ABASTECIMENTO DE ÁGUA, COLETA DE ESGOTO E CONSTRUÇÕES CORRELATAS 1</t>
  </si>
  <si>
    <t>CONSTRUÇÃO DE REDES DE ABASTECIMENTO DE ÁGUA, COLETA DE ESGOTO E CONSTRUÇÕES CORRELATAS 2</t>
  </si>
  <si>
    <t>CONSTRUÇÃO DE REDES DE ABASTECIMENTO DE ÁGUA, COLETA DE ESGOTO E CONSTRUÇÕES CORRELATAS 3</t>
  </si>
  <si>
    <t>CONSTRUÇÃO E MANUTENÇÃO DE ESTAÇÕES E REDES DE DISTRIBUIÇÃO DE ENERGIA ELÉTRICA 1</t>
  </si>
  <si>
    <t>CONSTRUÇÃO E MANUTENÇÃO DE ESTAÇÕES E REDES DE DISTRIBUIÇÃO DE ENERGIA ELÉTRICA 2</t>
  </si>
  <si>
    <t>CONSTRUÇÃO E MANUTENÇÃO DE ESTAÇÕES E REDES DE DISTRIBUIÇÃO DE ENERGIA ELÉTRICA 3</t>
  </si>
  <si>
    <t>OBRAS PORTUÁRIAS, MARÍTIMAS E FLUVIAIS 1</t>
  </si>
  <si>
    <t>OBRAS PORTUÁRIAS, MARÍTIMAS E FLUVIAIS 2</t>
  </si>
  <si>
    <t>OBRAS PORTUÁRIAS, MARÍTIMAS E FLUVIAIS 3</t>
  </si>
  <si>
    <t>BDI DE MATERIAIS</t>
  </si>
  <si>
    <t>** PARA INSUMOS ASFÁLTICOS COMO CAP, EMULSÃO, ETC., CONSIDERAR BDI = 15% (NÃO PRECISA DETALHAR)</t>
  </si>
  <si>
    <t>DETALHAMENTO BDI DIFERENCIADO - MATERIAIS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</si>
</sst>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* #,##0.00_);_(* \(#,##0.00\);_(* \-??_);_(@_)"/>
    <numFmt numFmtId="167" formatCode="_(* #,##0.0000_);_(* \(#,##0.0000\);_(* \-????_);_(@_)"/>
    <numFmt numFmtId="168" formatCode="00"/>
    <numFmt numFmtId="169" formatCode="0.000"/>
    <numFmt numFmtId="170" formatCode="#,##0.00\ ;&quot; (&quot;#,##0.00\);&quot; -&quot;#\ ;@\ "/>
    <numFmt numFmtId="171" formatCode="#,##0.00\ ;&quot; (&quot;#,##0.00\);&quot; -&quot;#.0\ ;@\ 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1"/>
      <name val="Arial"/>
      <family val="1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59999389629810485"/>
        <bgColor indexed="45"/>
      </patternFill>
    </fill>
    <fill>
      <patternFill patternType="solid">
        <fgColor theme="9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</borders>
  <cellStyleXfs count="3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10" fillId="0" borderId="0"/>
    <xf numFmtId="166" fontId="10" fillId="0" borderId="0"/>
    <xf numFmtId="9" fontId="1" fillId="0" borderId="0" applyFont="0" applyFill="0" applyBorder="0" applyAlignment="0" applyProtection="0"/>
    <xf numFmtId="0" fontId="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</cellStyleXfs>
  <cellXfs count="144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/>
    <xf numFmtId="43" fontId="4" fillId="2" borderId="1" xfId="5" applyFont="1" applyFill="1" applyBorder="1" applyAlignment="1">
      <alignment horizontal="center"/>
    </xf>
    <xf numFmtId="4" fontId="0" fillId="0" borderId="1" xfId="0" applyNumberFormat="1" applyBorder="1"/>
    <xf numFmtId="4" fontId="2" fillId="0" borderId="1" xfId="0" applyNumberFormat="1" applyFont="1" applyBorder="1"/>
    <xf numFmtId="43" fontId="2" fillId="0" borderId="1" xfId="0" applyNumberFormat="1" applyFont="1" applyBorder="1" applyAlignment="1">
      <alignment horizontal="center"/>
    </xf>
    <xf numFmtId="43" fontId="4" fillId="2" borderId="1" xfId="5" applyFont="1" applyFill="1" applyBorder="1"/>
    <xf numFmtId="10" fontId="2" fillId="2" borderId="5" xfId="0" applyNumberFormat="1" applyFont="1" applyFill="1" applyBorder="1" applyAlignment="1">
      <alignment horizontal="right" vertical="center"/>
    </xf>
    <xf numFmtId="10" fontId="2" fillId="2" borderId="36" xfId="0" applyNumberFormat="1" applyFont="1" applyFill="1" applyBorder="1" applyAlignment="1">
      <alignment horizontal="right" vertical="center"/>
    </xf>
    <xf numFmtId="10" fontId="7" fillId="0" borderId="0" xfId="7" applyNumberFormat="1" applyFont="1" applyAlignment="1" applyProtection="1">
      <alignment horizontal="center"/>
      <protection hidden="1"/>
    </xf>
    <xf numFmtId="10" fontId="1" fillId="0" borderId="0" xfId="3" applyNumberFormat="1" applyFont="1" applyAlignment="1">
      <alignment horizontal="center"/>
    </xf>
    <xf numFmtId="10" fontId="7" fillId="0" borderId="13" xfId="7" applyNumberFormat="1" applyFont="1" applyBorder="1" applyAlignment="1" applyProtection="1">
      <alignment horizontal="center"/>
      <protection hidden="1"/>
    </xf>
    <xf numFmtId="10" fontId="7" fillId="0" borderId="12" xfId="7" applyNumberFormat="1" applyFont="1" applyBorder="1" applyAlignment="1" applyProtection="1">
      <alignment horizontal="center"/>
      <protection hidden="1"/>
    </xf>
    <xf numFmtId="10" fontId="1" fillId="0" borderId="12" xfId="3" applyNumberFormat="1" applyFont="1" applyBorder="1" applyAlignment="1">
      <alignment horizontal="center"/>
    </xf>
    <xf numFmtId="10" fontId="1" fillId="0" borderId="13" xfId="3" applyNumberFormat="1" applyFont="1" applyBorder="1" applyAlignment="1">
      <alignment horizontal="center"/>
    </xf>
    <xf numFmtId="10" fontId="8" fillId="0" borderId="0" xfId="10" applyNumberFormat="1" applyFont="1" applyAlignment="1" applyProtection="1">
      <alignment horizontal="center"/>
      <protection hidden="1"/>
    </xf>
    <xf numFmtId="10" fontId="8" fillId="0" borderId="0" xfId="7" applyNumberFormat="1" applyFont="1" applyAlignment="1" applyProtection="1">
      <alignment horizontal="center"/>
      <protection hidden="1"/>
    </xf>
    <xf numFmtId="10" fontId="8" fillId="0" borderId="12" xfId="10" applyNumberFormat="1" applyFont="1" applyBorder="1" applyAlignment="1" applyProtection="1">
      <alignment horizontal="center"/>
      <protection hidden="1"/>
    </xf>
    <xf numFmtId="10" fontId="8" fillId="0" borderId="13" xfId="7" applyNumberFormat="1" applyFont="1" applyBorder="1" applyAlignment="1" applyProtection="1">
      <alignment horizontal="center"/>
      <protection hidden="1"/>
    </xf>
    <xf numFmtId="10" fontId="8" fillId="0" borderId="12" xfId="7" applyNumberFormat="1" applyFont="1" applyBorder="1" applyAlignment="1" applyProtection="1">
      <alignment horizontal="center"/>
      <protection hidden="1"/>
    </xf>
    <xf numFmtId="0" fontId="15" fillId="0" borderId="23" xfId="3" applyFont="1" applyBorder="1"/>
    <xf numFmtId="10" fontId="14" fillId="0" borderId="0" xfId="8" applyNumberFormat="1" applyFont="1" applyAlignment="1" applyProtection="1">
      <alignment horizontal="center"/>
      <protection hidden="1"/>
    </xf>
    <xf numFmtId="0" fontId="15" fillId="0" borderId="0" xfId="3" applyFont="1"/>
    <xf numFmtId="10" fontId="15" fillId="0" borderId="0" xfId="3" applyNumberFormat="1" applyFont="1" applyAlignment="1">
      <alignment horizontal="center"/>
    </xf>
    <xf numFmtId="10" fontId="14" fillId="0" borderId="0" xfId="8" applyNumberFormat="1" applyFont="1" applyAlignment="1" applyProtection="1">
      <alignment horizontal="center" vertical="center"/>
      <protection hidden="1"/>
    </xf>
    <xf numFmtId="0" fontId="15" fillId="0" borderId="7" xfId="3" applyFont="1" applyBorder="1"/>
    <xf numFmtId="166" fontId="14" fillId="0" borderId="0" xfId="8" applyNumberFormat="1" applyFont="1" applyAlignment="1" applyProtection="1">
      <alignment horizontal="center" vertical="center"/>
      <protection hidden="1"/>
    </xf>
    <xf numFmtId="0" fontId="16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4" fontId="15" fillId="0" borderId="0" xfId="3" applyNumberFormat="1" applyFont="1"/>
    <xf numFmtId="167" fontId="15" fillId="0" borderId="0" xfId="7" applyNumberFormat="1" applyFont="1" applyProtection="1">
      <protection hidden="1"/>
    </xf>
    <xf numFmtId="10" fontId="15" fillId="0" borderId="0" xfId="7" applyNumberFormat="1" applyFont="1" applyAlignment="1" applyProtection="1">
      <alignment horizontal="center"/>
      <protection hidden="1"/>
    </xf>
    <xf numFmtId="0" fontId="15" fillId="0" borderId="0" xfId="7" applyFont="1" applyProtection="1">
      <protection hidden="1"/>
    </xf>
    <xf numFmtId="9" fontId="4" fillId="0" borderId="0" xfId="11" applyFont="1" applyFill="1" applyBorder="1" applyAlignment="1" applyProtection="1"/>
    <xf numFmtId="0" fontId="15" fillId="0" borderId="0" xfId="3" applyFont="1" applyAlignment="1">
      <alignment vertical="center" wrapText="1"/>
    </xf>
    <xf numFmtId="0" fontId="14" fillId="6" borderId="37" xfId="3" applyFont="1" applyFill="1" applyBorder="1" applyAlignment="1">
      <alignment horizontal="center" vertical="center"/>
    </xf>
    <xf numFmtId="0" fontId="17" fillId="6" borderId="38" xfId="3" applyFont="1" applyFill="1" applyBorder="1" applyAlignment="1">
      <alignment horizontal="center" vertical="center"/>
    </xf>
    <xf numFmtId="0" fontId="14" fillId="6" borderId="39" xfId="3" applyFont="1" applyFill="1" applyBorder="1" applyAlignment="1">
      <alignment horizontal="center" vertical="center"/>
    </xf>
    <xf numFmtId="10" fontId="16" fillId="0" borderId="0" xfId="10" applyNumberFormat="1" applyFont="1" applyAlignment="1" applyProtection="1">
      <alignment horizontal="center"/>
      <protection hidden="1"/>
    </xf>
    <xf numFmtId="10" fontId="16" fillId="0" borderId="0" xfId="7" applyNumberFormat="1" applyFont="1" applyAlignment="1" applyProtection="1">
      <alignment horizontal="center"/>
      <protection hidden="1"/>
    </xf>
    <xf numFmtId="168" fontId="16" fillId="0" borderId="40" xfId="3" applyNumberFormat="1" applyFont="1" applyBorder="1" applyAlignment="1">
      <alignment horizontal="center" vertical="center"/>
    </xf>
    <xf numFmtId="39" fontId="16" fillId="0" borderId="8" xfId="2" applyNumberFormat="1" applyFont="1" applyFill="1" applyBorder="1" applyAlignment="1" applyProtection="1">
      <alignment horizontal="center" vertical="center"/>
    </xf>
    <xf numFmtId="168" fontId="16" fillId="0" borderId="41" xfId="3" applyNumberFormat="1" applyFont="1" applyBorder="1" applyAlignment="1">
      <alignment horizontal="center" vertical="center"/>
    </xf>
    <xf numFmtId="39" fontId="16" fillId="0" borderId="9" xfId="2" applyNumberFormat="1" applyFont="1" applyFill="1" applyBorder="1" applyAlignment="1" applyProtection="1">
      <alignment horizontal="center" vertical="center"/>
    </xf>
    <xf numFmtId="10" fontId="15" fillId="2" borderId="9" xfId="2" applyNumberFormat="1" applyFont="1" applyFill="1" applyBorder="1" applyAlignment="1" applyProtection="1">
      <alignment vertical="center"/>
    </xf>
    <xf numFmtId="10" fontId="15" fillId="2" borderId="10" xfId="2" applyNumberFormat="1" applyFont="1" applyFill="1" applyBorder="1" applyAlignment="1" applyProtection="1">
      <alignment vertical="center"/>
    </xf>
    <xf numFmtId="0" fontId="16" fillId="0" borderId="0" xfId="7" applyFont="1" applyProtection="1">
      <protection hidden="1"/>
    </xf>
    <xf numFmtId="0" fontId="16" fillId="0" borderId="0" xfId="3" applyFont="1"/>
    <xf numFmtId="169" fontId="15" fillId="0" borderId="0" xfId="3" applyNumberFormat="1" applyFont="1" applyAlignment="1">
      <alignment horizontal="right"/>
    </xf>
    <xf numFmtId="10" fontId="15" fillId="0" borderId="0" xfId="3" applyNumberFormat="1" applyFont="1" applyAlignment="1">
      <alignment horizontal="center" vertical="center"/>
    </xf>
    <xf numFmtId="0" fontId="15" fillId="0" borderId="0" xfId="3" applyFont="1" applyAlignment="1">
      <alignment vertical="center"/>
    </xf>
    <xf numFmtId="0" fontId="15" fillId="0" borderId="14" xfId="12" applyFont="1" applyBorder="1" applyAlignment="1">
      <alignment horizontal="center" vertical="center"/>
    </xf>
    <xf numFmtId="170" fontId="15" fillId="5" borderId="14" xfId="12" applyNumberFormat="1" applyFont="1" applyFill="1" applyBorder="1" applyAlignment="1">
      <alignment horizontal="center" vertical="center"/>
    </xf>
    <xf numFmtId="0" fontId="15" fillId="0" borderId="15" xfId="12" applyFont="1" applyBorder="1" applyAlignment="1">
      <alignment horizontal="center" vertical="center"/>
    </xf>
    <xf numFmtId="170" fontId="15" fillId="5" borderId="15" xfId="12" applyNumberFormat="1" applyFont="1" applyFill="1" applyBorder="1" applyAlignment="1">
      <alignment horizontal="center" vertical="center"/>
    </xf>
    <xf numFmtId="0" fontId="15" fillId="0" borderId="16" xfId="12" applyFont="1" applyBorder="1" applyAlignment="1">
      <alignment horizontal="center" vertical="center"/>
    </xf>
    <xf numFmtId="170" fontId="15" fillId="5" borderId="16" xfId="12" applyNumberFormat="1" applyFont="1" applyFill="1" applyBorder="1" applyAlignment="1">
      <alignment horizontal="center" vertical="center"/>
    </xf>
    <xf numFmtId="170" fontId="16" fillId="3" borderId="1" xfId="12" applyNumberFormat="1" applyFont="1" applyFill="1" applyBorder="1" applyAlignment="1">
      <alignment horizontal="center" vertical="center"/>
    </xf>
    <xf numFmtId="171" fontId="15" fillId="5" borderId="14" xfId="12" applyNumberFormat="1" applyFont="1" applyFill="1" applyBorder="1" applyAlignment="1">
      <alignment horizontal="center" vertical="center"/>
    </xf>
    <xf numFmtId="4" fontId="16" fillId="3" borderId="18" xfId="3" applyNumberFormat="1" applyFont="1" applyFill="1" applyBorder="1" applyAlignment="1">
      <alignment horizontal="center" vertical="center"/>
    </xf>
    <xf numFmtId="49" fontId="16" fillId="0" borderId="0" xfId="10" applyNumberFormat="1" applyFont="1" applyAlignment="1" applyProtection="1">
      <alignment horizontal="center"/>
      <protection hidden="1"/>
    </xf>
    <xf numFmtId="49" fontId="16" fillId="0" borderId="0" xfId="7" applyNumberFormat="1" applyFont="1" applyAlignment="1" applyProtection="1">
      <alignment horizontal="center"/>
      <protection hidden="1"/>
    </xf>
    <xf numFmtId="10" fontId="14" fillId="0" borderId="0" xfId="3" applyNumberFormat="1" applyFont="1" applyAlignment="1">
      <alignment vertical="center"/>
    </xf>
    <xf numFmtId="10" fontId="14" fillId="0" borderId="0" xfId="3" applyNumberFormat="1" applyFont="1" applyAlignment="1">
      <alignment vertical="center" wrapText="1"/>
    </xf>
    <xf numFmtId="0" fontId="13" fillId="0" borderId="0" xfId="0" applyFont="1" applyAlignment="1">
      <alignment vertical="center" wrapText="1"/>
    </xf>
    <xf numFmtId="10" fontId="15" fillId="2" borderId="54" xfId="2" applyNumberFormat="1" applyFont="1" applyFill="1" applyBorder="1" applyAlignment="1" applyProtection="1">
      <alignment horizontal="center" vertical="center"/>
    </xf>
    <xf numFmtId="10" fontId="15" fillId="2" borderId="55" xfId="2" applyNumberFormat="1" applyFont="1" applyFill="1" applyBorder="1" applyAlignment="1" applyProtection="1">
      <alignment horizontal="center" vertical="center"/>
    </xf>
    <xf numFmtId="10" fontId="2" fillId="2" borderId="53" xfId="0" applyNumberFormat="1" applyFont="1" applyFill="1" applyBorder="1" applyAlignment="1">
      <alignment horizontal="right" vertical="center"/>
    </xf>
    <xf numFmtId="10" fontId="16" fillId="0" borderId="44" xfId="6" applyNumberFormat="1" applyFont="1" applyFill="1" applyBorder="1" applyAlignment="1">
      <alignment vertical="center"/>
    </xf>
    <xf numFmtId="0" fontId="16" fillId="0" borderId="18" xfId="12" applyFont="1" applyBorder="1" applyAlignment="1">
      <alignment horizontal="center" vertical="center"/>
    </xf>
    <xf numFmtId="170" fontId="17" fillId="5" borderId="18" xfId="12" applyNumberFormat="1" applyFont="1" applyFill="1" applyBorder="1" applyAlignment="1">
      <alignment horizontal="center" vertical="center" wrapText="1"/>
    </xf>
    <xf numFmtId="170" fontId="16" fillId="3" borderId="18" xfId="12" applyNumberFormat="1" applyFont="1" applyFill="1" applyBorder="1" applyAlignment="1">
      <alignment horizontal="center" vertical="center"/>
    </xf>
    <xf numFmtId="0" fontId="16" fillId="7" borderId="33" xfId="3" applyFont="1" applyFill="1" applyBorder="1" applyAlignment="1">
      <alignment horizontal="center" vertical="center"/>
    </xf>
    <xf numFmtId="0" fontId="16" fillId="7" borderId="34" xfId="3" applyFont="1" applyFill="1" applyBorder="1" applyAlignment="1">
      <alignment horizontal="center" vertical="center"/>
    </xf>
    <xf numFmtId="0" fontId="16" fillId="7" borderId="35" xfId="3" applyFont="1" applyFill="1" applyBorder="1" applyAlignment="1">
      <alignment horizontal="center" vertical="center"/>
    </xf>
    <xf numFmtId="0" fontId="16" fillId="0" borderId="22" xfId="7" applyFont="1" applyBorder="1" applyAlignment="1" applyProtection="1">
      <alignment horizontal="center" vertical="center"/>
      <protection hidden="1"/>
    </xf>
    <xf numFmtId="0" fontId="16" fillId="0" borderId="23" xfId="7" applyFont="1" applyBorder="1" applyAlignment="1" applyProtection="1">
      <alignment horizontal="center" vertical="center"/>
      <protection hidden="1"/>
    </xf>
    <xf numFmtId="0" fontId="16" fillId="0" borderId="17" xfId="7" applyFont="1" applyBorder="1" applyAlignment="1" applyProtection="1">
      <alignment horizontal="center" vertical="center"/>
      <protection hidden="1"/>
    </xf>
    <xf numFmtId="168" fontId="15" fillId="0" borderId="42" xfId="3" applyNumberFormat="1" applyFont="1" applyBorder="1" applyAlignment="1">
      <alignment horizontal="center" vertical="center"/>
    </xf>
    <xf numFmtId="168" fontId="15" fillId="0" borderId="24" xfId="3" applyNumberFormat="1" applyFont="1" applyBorder="1" applyAlignment="1">
      <alignment horizontal="center" vertical="center"/>
    </xf>
    <xf numFmtId="39" fontId="16" fillId="0" borderId="9" xfId="2" applyNumberFormat="1" applyFont="1" applyFill="1" applyBorder="1" applyAlignment="1" applyProtection="1">
      <alignment vertical="center"/>
    </xf>
    <xf numFmtId="39" fontId="16" fillId="0" borderId="32" xfId="2" applyNumberFormat="1" applyFont="1" applyFill="1" applyBorder="1" applyAlignment="1" applyProtection="1">
      <alignment vertical="center"/>
    </xf>
    <xf numFmtId="39" fontId="16" fillId="0" borderId="24" xfId="2" applyNumberFormat="1" applyFont="1" applyFill="1" applyBorder="1" applyAlignment="1" applyProtection="1">
      <alignment vertical="center"/>
    </xf>
    <xf numFmtId="168" fontId="15" fillId="0" borderId="43" xfId="3" applyNumberFormat="1" applyFont="1" applyBorder="1" applyAlignment="1">
      <alignment horizontal="center" vertical="center"/>
    </xf>
    <xf numFmtId="168" fontId="15" fillId="0" borderId="25" xfId="3" applyNumberFormat="1" applyFont="1" applyBorder="1" applyAlignment="1">
      <alignment horizontal="center" vertical="center"/>
    </xf>
    <xf numFmtId="39" fontId="16" fillId="0" borderId="50" xfId="2" applyNumberFormat="1" applyFont="1" applyFill="1" applyBorder="1" applyAlignment="1" applyProtection="1">
      <alignment vertical="center"/>
    </xf>
    <xf numFmtId="39" fontId="16" fillId="0" borderId="51" xfId="2" applyNumberFormat="1" applyFont="1" applyFill="1" applyBorder="1" applyAlignment="1" applyProtection="1">
      <alignment vertical="center"/>
    </xf>
    <xf numFmtId="39" fontId="16" fillId="0" borderId="52" xfId="2" applyNumberFormat="1" applyFont="1" applyFill="1" applyBorder="1" applyAlignment="1" applyProtection="1">
      <alignment vertical="center"/>
    </xf>
    <xf numFmtId="0" fontId="16" fillId="3" borderId="33" xfId="3" applyFont="1" applyFill="1" applyBorder="1" applyAlignment="1">
      <alignment horizontal="center" vertical="center"/>
    </xf>
    <xf numFmtId="0" fontId="16" fillId="3" borderId="34" xfId="3" applyFont="1" applyFill="1" applyBorder="1" applyAlignment="1">
      <alignment horizontal="center" vertical="center"/>
    </xf>
    <xf numFmtId="0" fontId="16" fillId="3" borderId="35" xfId="3" applyFont="1" applyFill="1" applyBorder="1" applyAlignment="1">
      <alignment horizontal="center" vertical="center"/>
    </xf>
    <xf numFmtId="10" fontId="16" fillId="0" borderId="11" xfId="3" applyNumberFormat="1" applyFont="1" applyBorder="1" applyAlignment="1">
      <alignment horizontal="center"/>
    </xf>
    <xf numFmtId="10" fontId="16" fillId="0" borderId="0" xfId="3" applyNumberFormat="1" applyFont="1" applyAlignment="1">
      <alignment horizontal="center"/>
    </xf>
    <xf numFmtId="0" fontId="14" fillId="6" borderId="45" xfId="3" applyFont="1" applyFill="1" applyBorder="1" applyAlignment="1">
      <alignment horizontal="center" vertical="center"/>
    </xf>
    <xf numFmtId="0" fontId="14" fillId="6" borderId="34" xfId="3" applyFont="1" applyFill="1" applyBorder="1" applyAlignment="1">
      <alignment horizontal="center" vertical="center"/>
    </xf>
    <xf numFmtId="0" fontId="14" fillId="6" borderId="46" xfId="3" applyFont="1" applyFill="1" applyBorder="1" applyAlignment="1">
      <alignment horizontal="center" vertical="center"/>
    </xf>
    <xf numFmtId="39" fontId="16" fillId="0" borderId="47" xfId="2" applyNumberFormat="1" applyFont="1" applyFill="1" applyBorder="1" applyAlignment="1" applyProtection="1">
      <alignment vertical="center"/>
    </xf>
    <xf numFmtId="39" fontId="16" fillId="0" borderId="48" xfId="2" applyNumberFormat="1" applyFont="1" applyFill="1" applyBorder="1" applyAlignment="1" applyProtection="1">
      <alignment vertical="center"/>
    </xf>
    <xf numFmtId="39" fontId="16" fillId="0" borderId="49" xfId="2" applyNumberFormat="1" applyFont="1" applyFill="1" applyBorder="1" applyAlignment="1" applyProtection="1">
      <alignment vertical="center"/>
    </xf>
    <xf numFmtId="10" fontId="14" fillId="0" borderId="0" xfId="3" applyNumberFormat="1" applyFont="1" applyAlignment="1">
      <alignment horizontal="center" vertical="center" wrapText="1"/>
    </xf>
    <xf numFmtId="0" fontId="15" fillId="0" borderId="28" xfId="12" applyFont="1" applyBorder="1" applyAlignment="1">
      <alignment vertical="center"/>
    </xf>
    <xf numFmtId="0" fontId="15" fillId="0" borderId="29" xfId="12" applyFont="1" applyBorder="1" applyAlignment="1">
      <alignment vertical="center"/>
    </xf>
    <xf numFmtId="0" fontId="15" fillId="0" borderId="30" xfId="12" applyFont="1" applyBorder="1" applyAlignment="1">
      <alignment vertical="center"/>
    </xf>
    <xf numFmtId="0" fontId="15" fillId="0" borderId="31" xfId="12" applyFont="1" applyBorder="1" applyAlignment="1">
      <alignment vertical="center"/>
    </xf>
    <xf numFmtId="0" fontId="16" fillId="0" borderId="20" xfId="12" applyFont="1" applyBorder="1" applyAlignment="1">
      <alignment vertical="center"/>
    </xf>
    <xf numFmtId="0" fontId="16" fillId="0" borderId="21" xfId="12" applyFont="1" applyBorder="1" applyAlignment="1">
      <alignment vertical="center"/>
    </xf>
    <xf numFmtId="0" fontId="15" fillId="0" borderId="26" xfId="12" applyFont="1" applyBorder="1" applyAlignment="1">
      <alignment vertical="center"/>
    </xf>
    <xf numFmtId="0" fontId="15" fillId="0" borderId="27" xfId="12" applyFont="1" applyBorder="1" applyAlignment="1">
      <alignment vertical="center"/>
    </xf>
    <xf numFmtId="0" fontId="15" fillId="0" borderId="30" xfId="12" applyFont="1" applyBorder="1" applyAlignment="1">
      <alignment horizontal="justify" vertical="center" wrapText="1"/>
    </xf>
    <xf numFmtId="0" fontId="15" fillId="0" borderId="31" xfId="12" applyFont="1" applyBorder="1" applyAlignment="1">
      <alignment horizontal="justify" vertical="center" wrapText="1"/>
    </xf>
    <xf numFmtId="0" fontId="16" fillId="8" borderId="22" xfId="12" applyFont="1" applyFill="1" applyBorder="1" applyAlignment="1">
      <alignment horizontal="center" vertical="center"/>
    </xf>
    <xf numFmtId="0" fontId="16" fillId="8" borderId="23" xfId="12" applyFont="1" applyFill="1" applyBorder="1" applyAlignment="1">
      <alignment horizontal="center" vertical="center"/>
    </xf>
    <xf numFmtId="0" fontId="16" fillId="8" borderId="17" xfId="12" applyFont="1" applyFill="1" applyBorder="1" applyAlignment="1">
      <alignment horizontal="center" vertical="center"/>
    </xf>
    <xf numFmtId="0" fontId="15" fillId="0" borderId="30" xfId="12" applyFont="1" applyBorder="1" applyAlignment="1">
      <alignment horizontal="left" vertical="center"/>
    </xf>
    <xf numFmtId="0" fontId="15" fillId="0" borderId="31" xfId="12" applyFont="1" applyBorder="1" applyAlignment="1">
      <alignment horizontal="left" vertical="center"/>
    </xf>
    <xf numFmtId="0" fontId="16" fillId="5" borderId="22" xfId="12" applyFont="1" applyFill="1" applyBorder="1" applyAlignment="1">
      <alignment horizontal="center" vertical="center" wrapText="1"/>
    </xf>
    <xf numFmtId="0" fontId="16" fillId="5" borderId="17" xfId="12" applyFont="1" applyFill="1" applyBorder="1" applyAlignment="1">
      <alignment horizontal="center" vertical="center" wrapText="1"/>
    </xf>
    <xf numFmtId="0" fontId="16" fillId="5" borderId="12" xfId="12" applyFont="1" applyFill="1" applyBorder="1" applyAlignment="1">
      <alignment horizontal="center" vertical="center" wrapText="1"/>
    </xf>
    <xf numFmtId="0" fontId="16" fillId="5" borderId="13" xfId="12" applyFont="1" applyFill="1" applyBorder="1" applyAlignment="1">
      <alignment horizontal="center" vertical="center" wrapText="1"/>
    </xf>
    <xf numFmtId="0" fontId="16" fillId="8" borderId="20" xfId="12" applyFont="1" applyFill="1" applyBorder="1" applyAlignment="1">
      <alignment horizontal="center" vertical="center"/>
    </xf>
    <xf numFmtId="0" fontId="16" fillId="8" borderId="19" xfId="12" applyFont="1" applyFill="1" applyBorder="1" applyAlignment="1">
      <alignment horizontal="center" vertical="center"/>
    </xf>
    <xf numFmtId="0" fontId="16" fillId="8" borderId="21" xfId="1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6" fillId="0" borderId="1" xfId="12" applyFont="1" applyBorder="1" applyAlignment="1">
      <alignment horizontal="center" vertical="center"/>
    </xf>
    <xf numFmtId="0" fontId="16" fillId="0" borderId="18" xfId="12" applyFont="1" applyBorder="1" applyAlignment="1">
      <alignment horizontal="center" vertical="center"/>
    </xf>
    <xf numFmtId="0" fontId="16" fillId="5" borderId="2" xfId="3" applyFont="1" applyFill="1" applyBorder="1" applyAlignment="1">
      <alignment horizontal="center" vertical="center"/>
    </xf>
    <xf numFmtId="0" fontId="16" fillId="5" borderId="2" xfId="12" applyFont="1" applyFill="1" applyBorder="1" applyAlignment="1">
      <alignment horizontal="center" vertical="center" wrapText="1"/>
    </xf>
    <xf numFmtId="0" fontId="16" fillId="5" borderId="18" xfId="12" applyFont="1" applyFill="1" applyBorder="1" applyAlignment="1">
      <alignment horizontal="center" vertical="center" wrapText="1"/>
    </xf>
    <xf numFmtId="0" fontId="15" fillId="0" borderId="3" xfId="12" applyFont="1" applyBorder="1" applyAlignment="1">
      <alignment horizontal="center" vertical="center"/>
    </xf>
    <xf numFmtId="0" fontId="15" fillId="0" borderId="19" xfId="12" applyFont="1" applyBorder="1" applyAlignment="1">
      <alignment horizontal="center" vertical="center"/>
    </xf>
    <xf numFmtId="0" fontId="15" fillId="0" borderId="4" xfId="12" applyFont="1" applyBorder="1" applyAlignment="1">
      <alignment horizontal="center" vertical="center"/>
    </xf>
    <xf numFmtId="169" fontId="16" fillId="5" borderId="12" xfId="3" applyNumberFormat="1" applyFont="1" applyFill="1" applyBorder="1" applyAlignment="1">
      <alignment horizontal="center" vertical="center"/>
    </xf>
    <xf numFmtId="169" fontId="16" fillId="5" borderId="13" xfId="3" applyNumberFormat="1" applyFont="1" applyFill="1" applyBorder="1" applyAlignment="1">
      <alignment horizontal="center" vertical="center"/>
    </xf>
    <xf numFmtId="166" fontId="16" fillId="0" borderId="23" xfId="8" applyNumberFormat="1" applyFont="1" applyBorder="1" applyAlignment="1" applyProtection="1">
      <alignment horizontal="center" vertical="center"/>
      <protection hidden="1"/>
    </xf>
    <xf numFmtId="166" fontId="16" fillId="0" borderId="0" xfId="8" applyNumberFormat="1" applyFont="1" applyAlignment="1" applyProtection="1">
      <alignment horizontal="center" vertical="center"/>
      <protection hidden="1"/>
    </xf>
    <xf numFmtId="166" fontId="16" fillId="0" borderId="7" xfId="8" applyNumberFormat="1" applyFont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</cellXfs>
  <cellStyles count="30">
    <cellStyle name="Moeda 2" xfId="27" xr:uid="{00000000-0005-0000-0000-000000000000}"/>
    <cellStyle name="Normal" xfId="0" builtinId="0"/>
    <cellStyle name="Normal 2" xfId="3" xr:uid="{00000000-0005-0000-0000-000002000000}"/>
    <cellStyle name="Normal 2 2" xfId="12" xr:uid="{00000000-0005-0000-0000-000003000000}"/>
    <cellStyle name="Normal 2 3" xfId="21" xr:uid="{00000000-0005-0000-0000-000004000000}"/>
    <cellStyle name="Normal 3" xfId="9" xr:uid="{00000000-0005-0000-0000-000005000000}"/>
    <cellStyle name="Normal 3 2" xfId="24" xr:uid="{00000000-0005-0000-0000-000006000000}"/>
    <cellStyle name="Normal 3 2 4" xfId="18" xr:uid="{00000000-0005-0000-0000-000007000000}"/>
    <cellStyle name="Normal 4" xfId="29" xr:uid="{00000000-0005-0000-0000-000008000000}"/>
    <cellStyle name="Normal 4 2" xfId="1" xr:uid="{00000000-0005-0000-0000-000009000000}"/>
    <cellStyle name="Normal 7" xfId="13" xr:uid="{00000000-0005-0000-0000-00000A000000}"/>
    <cellStyle name="Normal 8 2" xfId="14" xr:uid="{00000000-0005-0000-0000-00000B000000}"/>
    <cellStyle name="Normal 9" xfId="15" xr:uid="{00000000-0005-0000-0000-00000C000000}"/>
    <cellStyle name="Normal_Construction Assemblies A-E" xfId="7" xr:uid="{00000000-0005-0000-0000-00000D000000}"/>
    <cellStyle name="Normal_Construction Assemblies L-Q" xfId="10" xr:uid="{00000000-0005-0000-0000-00000E000000}"/>
    <cellStyle name="Normal_orçcomp" xfId="8" xr:uid="{00000000-0005-0000-0000-00000F000000}"/>
    <cellStyle name="Porcentagem" xfId="6" builtinId="5"/>
    <cellStyle name="Porcentagem 2" xfId="11" xr:uid="{00000000-0005-0000-0000-000011000000}"/>
    <cellStyle name="Porcentagem 2 2" xfId="25" xr:uid="{00000000-0005-0000-0000-000012000000}"/>
    <cellStyle name="Porcentagem 2 3" xfId="19" xr:uid="{00000000-0005-0000-0000-000013000000}"/>
    <cellStyle name="Porcentagem 3" xfId="22" xr:uid="{00000000-0005-0000-0000-000014000000}"/>
    <cellStyle name="Porcentagem 3 2 2" xfId="17" xr:uid="{00000000-0005-0000-0000-000015000000}"/>
    <cellStyle name="Porcentagem 4" xfId="23" xr:uid="{00000000-0005-0000-0000-000016000000}"/>
    <cellStyle name="Separador de milhares 12" xfId="20" xr:uid="{00000000-0005-0000-0000-000017000000}"/>
    <cellStyle name="Separador de milhares 2" xfId="28" xr:uid="{00000000-0005-0000-0000-000018000000}"/>
    <cellStyle name="Separador de milhares 8 3" xfId="16" xr:uid="{00000000-0005-0000-0000-000019000000}"/>
    <cellStyle name="Vírgula" xfId="5" builtinId="3"/>
    <cellStyle name="Vírgula 2" xfId="2" xr:uid="{00000000-0005-0000-0000-00001B000000}"/>
    <cellStyle name="Vírgula 2 2" xfId="26" xr:uid="{00000000-0005-0000-0000-00001C000000}"/>
    <cellStyle name="Vírgula 3" xfId="4" xr:uid="{00000000-0005-0000-0000-00001D000000}"/>
  </cellStyles>
  <dxfs count="70"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C000"/>
      </font>
      <fill>
        <patternFill>
          <fgColor theme="0"/>
          <bgColor theme="7" tint="0.79998168889431442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</xdr:col>
      <xdr:colOff>160020</xdr:colOff>
      <xdr:row>17</xdr:row>
      <xdr:rowOff>152400</xdr:rowOff>
    </xdr:to>
    <xdr:sp macro="" textlink="">
      <xdr:nvSpPr>
        <xdr:cNvPr id="3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6350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</xdr:row>
          <xdr:rowOff>66675</xdr:rowOff>
        </xdr:from>
        <xdr:to>
          <xdr:col>3</xdr:col>
          <xdr:colOff>428625</xdr:colOff>
          <xdr:row>5</xdr:row>
          <xdr:rowOff>104775</xdr:rowOff>
        </xdr:to>
        <xdr:sp macro="" textlink="">
          <xdr:nvSpPr>
            <xdr:cNvPr id="3073" name="Picture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3</xdr:col>
      <xdr:colOff>47625</xdr:colOff>
      <xdr:row>8</xdr:row>
      <xdr:rowOff>44218</xdr:rowOff>
    </xdr:from>
    <xdr:to>
      <xdr:col>4</xdr:col>
      <xdr:colOff>733425</xdr:colOff>
      <xdr:row>11</xdr:row>
      <xdr:rowOff>28574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1177693"/>
          <a:ext cx="2714625" cy="4701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33</xdr:row>
      <xdr:rowOff>0</xdr:rowOff>
    </xdr:from>
    <xdr:ext cx="160020" cy="152400"/>
    <xdr:sp macro="" textlink="">
      <xdr:nvSpPr>
        <xdr:cNvPr id="5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3038475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50</xdr:row>
      <xdr:rowOff>0</xdr:rowOff>
    </xdr:from>
    <xdr:ext cx="160020" cy="152400"/>
    <xdr:sp macro="" textlink="">
      <xdr:nvSpPr>
        <xdr:cNvPr id="6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5743575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66</xdr:row>
      <xdr:rowOff>0</xdr:rowOff>
    </xdr:from>
    <xdr:ext cx="160020" cy="152400"/>
    <xdr:sp macro="" textlink="">
      <xdr:nvSpPr>
        <xdr:cNvPr id="2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28600" y="9096375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usuario_2\Downloads\Users\usuario_2\Desktop\C&#243;pia%20de%20Composi&#231;&#227;o_BDIC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DADOS"/>
    </sheetNames>
    <sheetDataSet>
      <sheetData sheetId="0"/>
      <sheetData sheetId="1">
        <row r="1">
          <cell r="A1" t="str">
            <v>Construção de Edifícios</v>
          </cell>
        </row>
        <row r="2">
          <cell r="A2" t="str">
            <v>Construção de Rodovias e Ferrovias</v>
          </cell>
        </row>
        <row r="3">
          <cell r="A3" t="str">
            <v>Construção de Redes de Abastecimento de Água, Coleta de Esgoto e Construções Correlatas</v>
          </cell>
        </row>
        <row r="4">
          <cell r="A4" t="str">
            <v>Construção e Manutenção de Estações e Redes de Distribuição de Energia Elétrica</v>
          </cell>
        </row>
        <row r="5">
          <cell r="A5" t="str">
            <v>Obras Portuárias, Marítimas e Fluviais</v>
          </cell>
        </row>
        <row r="6">
          <cell r="A6" t="str">
            <v>Fornecimento de Materiais e Equipamentos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L120"/>
  <sheetViews>
    <sheetView tabSelected="1" view="pageBreakPreview" zoomScaleNormal="100" zoomScaleSheetLayoutView="100" workbookViewId="0">
      <selection activeCell="C55" sqref="C55:F55"/>
    </sheetView>
  </sheetViews>
  <sheetFormatPr defaultColWidth="9.140625" defaultRowHeight="12.75" x14ac:dyDescent="0.2"/>
  <cols>
    <col min="1" max="1" width="3.42578125" style="26" customWidth="1"/>
    <col min="2" max="3" width="8.28515625" style="26" customWidth="1"/>
    <col min="4" max="4" width="30.42578125" style="26" customWidth="1"/>
    <col min="5" max="8" width="12.7109375" style="26" customWidth="1"/>
    <col min="9" max="11" width="15.7109375" style="27" customWidth="1"/>
    <col min="12" max="251" width="9.140625" style="26"/>
    <col min="252" max="252" width="15.28515625" style="26" customWidth="1"/>
    <col min="253" max="253" width="30.42578125" style="26" customWidth="1"/>
    <col min="254" max="254" width="8.85546875" style="26" customWidth="1"/>
    <col min="255" max="255" width="9.28515625" style="26" customWidth="1"/>
    <col min="256" max="256" width="10.42578125" style="26" customWidth="1"/>
    <col min="257" max="257" width="5" style="26" customWidth="1"/>
    <col min="258" max="258" width="6.28515625" style="26" customWidth="1"/>
    <col min="259" max="259" width="12.85546875" style="26" customWidth="1"/>
    <col min="260" max="260" width="9.7109375" style="26" bestFit="1" customWidth="1"/>
    <col min="261" max="507" width="9.140625" style="26"/>
    <col min="508" max="508" width="15.28515625" style="26" customWidth="1"/>
    <col min="509" max="509" width="30.42578125" style="26" customWidth="1"/>
    <col min="510" max="510" width="8.85546875" style="26" customWidth="1"/>
    <col min="511" max="511" width="9.28515625" style="26" customWidth="1"/>
    <col min="512" max="512" width="10.42578125" style="26" customWidth="1"/>
    <col min="513" max="513" width="5" style="26" customWidth="1"/>
    <col min="514" max="514" width="6.28515625" style="26" customWidth="1"/>
    <col min="515" max="515" width="12.85546875" style="26" customWidth="1"/>
    <col min="516" max="516" width="9.7109375" style="26" bestFit="1" customWidth="1"/>
    <col min="517" max="763" width="9.140625" style="26"/>
    <col min="764" max="764" width="15.28515625" style="26" customWidth="1"/>
    <col min="765" max="765" width="30.42578125" style="26" customWidth="1"/>
    <col min="766" max="766" width="8.85546875" style="26" customWidth="1"/>
    <col min="767" max="767" width="9.28515625" style="26" customWidth="1"/>
    <col min="768" max="768" width="10.42578125" style="26" customWidth="1"/>
    <col min="769" max="769" width="5" style="26" customWidth="1"/>
    <col min="770" max="770" width="6.28515625" style="26" customWidth="1"/>
    <col min="771" max="771" width="12.85546875" style="26" customWidth="1"/>
    <col min="772" max="772" width="9.7109375" style="26" bestFit="1" customWidth="1"/>
    <col min="773" max="1019" width="9.140625" style="26"/>
    <col min="1020" max="1020" width="15.28515625" style="26" customWidth="1"/>
    <col min="1021" max="1021" width="30.42578125" style="26" customWidth="1"/>
    <col min="1022" max="1022" width="8.85546875" style="26" customWidth="1"/>
    <col min="1023" max="1023" width="9.28515625" style="26" customWidth="1"/>
    <col min="1024" max="1024" width="10.42578125" style="26" customWidth="1"/>
    <col min="1025" max="1025" width="5" style="26" customWidth="1"/>
    <col min="1026" max="1026" width="6.28515625" style="26" customWidth="1"/>
    <col min="1027" max="1027" width="12.85546875" style="26" customWidth="1"/>
    <col min="1028" max="1028" width="9.7109375" style="26" bestFit="1" customWidth="1"/>
    <col min="1029" max="1275" width="9.140625" style="26"/>
    <col min="1276" max="1276" width="15.28515625" style="26" customWidth="1"/>
    <col min="1277" max="1277" width="30.42578125" style="26" customWidth="1"/>
    <col min="1278" max="1278" width="8.85546875" style="26" customWidth="1"/>
    <col min="1279" max="1279" width="9.28515625" style="26" customWidth="1"/>
    <col min="1280" max="1280" width="10.42578125" style="26" customWidth="1"/>
    <col min="1281" max="1281" width="5" style="26" customWidth="1"/>
    <col min="1282" max="1282" width="6.28515625" style="26" customWidth="1"/>
    <col min="1283" max="1283" width="12.85546875" style="26" customWidth="1"/>
    <col min="1284" max="1284" width="9.7109375" style="26" bestFit="1" customWidth="1"/>
    <col min="1285" max="1531" width="9.140625" style="26"/>
    <col min="1532" max="1532" width="15.28515625" style="26" customWidth="1"/>
    <col min="1533" max="1533" width="30.42578125" style="26" customWidth="1"/>
    <col min="1534" max="1534" width="8.85546875" style="26" customWidth="1"/>
    <col min="1535" max="1535" width="9.28515625" style="26" customWidth="1"/>
    <col min="1536" max="1536" width="10.42578125" style="26" customWidth="1"/>
    <col min="1537" max="1537" width="5" style="26" customWidth="1"/>
    <col min="1538" max="1538" width="6.28515625" style="26" customWidth="1"/>
    <col min="1539" max="1539" width="12.85546875" style="26" customWidth="1"/>
    <col min="1540" max="1540" width="9.7109375" style="26" bestFit="1" customWidth="1"/>
    <col min="1541" max="1787" width="9.140625" style="26"/>
    <col min="1788" max="1788" width="15.28515625" style="26" customWidth="1"/>
    <col min="1789" max="1789" width="30.42578125" style="26" customWidth="1"/>
    <col min="1790" max="1790" width="8.85546875" style="26" customWidth="1"/>
    <col min="1791" max="1791" width="9.28515625" style="26" customWidth="1"/>
    <col min="1792" max="1792" width="10.42578125" style="26" customWidth="1"/>
    <col min="1793" max="1793" width="5" style="26" customWidth="1"/>
    <col min="1794" max="1794" width="6.28515625" style="26" customWidth="1"/>
    <col min="1795" max="1795" width="12.85546875" style="26" customWidth="1"/>
    <col min="1796" max="1796" width="9.7109375" style="26" bestFit="1" customWidth="1"/>
    <col min="1797" max="2043" width="9.140625" style="26"/>
    <col min="2044" max="2044" width="15.28515625" style="26" customWidth="1"/>
    <col min="2045" max="2045" width="30.42578125" style="26" customWidth="1"/>
    <col min="2046" max="2046" width="8.85546875" style="26" customWidth="1"/>
    <col min="2047" max="2047" width="9.28515625" style="26" customWidth="1"/>
    <col min="2048" max="2048" width="10.42578125" style="26" customWidth="1"/>
    <col min="2049" max="2049" width="5" style="26" customWidth="1"/>
    <col min="2050" max="2050" width="6.28515625" style="26" customWidth="1"/>
    <col min="2051" max="2051" width="12.85546875" style="26" customWidth="1"/>
    <col min="2052" max="2052" width="9.7109375" style="26" bestFit="1" customWidth="1"/>
    <col min="2053" max="2299" width="9.140625" style="26"/>
    <col min="2300" max="2300" width="15.28515625" style="26" customWidth="1"/>
    <col min="2301" max="2301" width="30.42578125" style="26" customWidth="1"/>
    <col min="2302" max="2302" width="8.85546875" style="26" customWidth="1"/>
    <col min="2303" max="2303" width="9.28515625" style="26" customWidth="1"/>
    <col min="2304" max="2304" width="10.42578125" style="26" customWidth="1"/>
    <col min="2305" max="2305" width="5" style="26" customWidth="1"/>
    <col min="2306" max="2306" width="6.28515625" style="26" customWidth="1"/>
    <col min="2307" max="2307" width="12.85546875" style="26" customWidth="1"/>
    <col min="2308" max="2308" width="9.7109375" style="26" bestFit="1" customWidth="1"/>
    <col min="2309" max="2555" width="9.140625" style="26"/>
    <col min="2556" max="2556" width="15.28515625" style="26" customWidth="1"/>
    <col min="2557" max="2557" width="30.42578125" style="26" customWidth="1"/>
    <col min="2558" max="2558" width="8.85546875" style="26" customWidth="1"/>
    <col min="2559" max="2559" width="9.28515625" style="26" customWidth="1"/>
    <col min="2560" max="2560" width="10.42578125" style="26" customWidth="1"/>
    <col min="2561" max="2561" width="5" style="26" customWidth="1"/>
    <col min="2562" max="2562" width="6.28515625" style="26" customWidth="1"/>
    <col min="2563" max="2563" width="12.85546875" style="26" customWidth="1"/>
    <col min="2564" max="2564" width="9.7109375" style="26" bestFit="1" customWidth="1"/>
    <col min="2565" max="2811" width="9.140625" style="26"/>
    <col min="2812" max="2812" width="15.28515625" style="26" customWidth="1"/>
    <col min="2813" max="2813" width="30.42578125" style="26" customWidth="1"/>
    <col min="2814" max="2814" width="8.85546875" style="26" customWidth="1"/>
    <col min="2815" max="2815" width="9.28515625" style="26" customWidth="1"/>
    <col min="2816" max="2816" width="10.42578125" style="26" customWidth="1"/>
    <col min="2817" max="2817" width="5" style="26" customWidth="1"/>
    <col min="2818" max="2818" width="6.28515625" style="26" customWidth="1"/>
    <col min="2819" max="2819" width="12.85546875" style="26" customWidth="1"/>
    <col min="2820" max="2820" width="9.7109375" style="26" bestFit="1" customWidth="1"/>
    <col min="2821" max="3067" width="9.140625" style="26"/>
    <col min="3068" max="3068" width="15.28515625" style="26" customWidth="1"/>
    <col min="3069" max="3069" width="30.42578125" style="26" customWidth="1"/>
    <col min="3070" max="3070" width="8.85546875" style="26" customWidth="1"/>
    <col min="3071" max="3071" width="9.28515625" style="26" customWidth="1"/>
    <col min="3072" max="3072" width="10.42578125" style="26" customWidth="1"/>
    <col min="3073" max="3073" width="5" style="26" customWidth="1"/>
    <col min="3074" max="3074" width="6.28515625" style="26" customWidth="1"/>
    <col min="3075" max="3075" width="12.85546875" style="26" customWidth="1"/>
    <col min="3076" max="3076" width="9.7109375" style="26" bestFit="1" customWidth="1"/>
    <col min="3077" max="3323" width="9.140625" style="26"/>
    <col min="3324" max="3324" width="15.28515625" style="26" customWidth="1"/>
    <col min="3325" max="3325" width="30.42578125" style="26" customWidth="1"/>
    <col min="3326" max="3326" width="8.85546875" style="26" customWidth="1"/>
    <col min="3327" max="3327" width="9.28515625" style="26" customWidth="1"/>
    <col min="3328" max="3328" width="10.42578125" style="26" customWidth="1"/>
    <col min="3329" max="3329" width="5" style="26" customWidth="1"/>
    <col min="3330" max="3330" width="6.28515625" style="26" customWidth="1"/>
    <col min="3331" max="3331" width="12.85546875" style="26" customWidth="1"/>
    <col min="3332" max="3332" width="9.7109375" style="26" bestFit="1" customWidth="1"/>
    <col min="3333" max="3579" width="9.140625" style="26"/>
    <col min="3580" max="3580" width="15.28515625" style="26" customWidth="1"/>
    <col min="3581" max="3581" width="30.42578125" style="26" customWidth="1"/>
    <col min="3582" max="3582" width="8.85546875" style="26" customWidth="1"/>
    <col min="3583" max="3583" width="9.28515625" style="26" customWidth="1"/>
    <col min="3584" max="3584" width="10.42578125" style="26" customWidth="1"/>
    <col min="3585" max="3585" width="5" style="26" customWidth="1"/>
    <col min="3586" max="3586" width="6.28515625" style="26" customWidth="1"/>
    <col min="3587" max="3587" width="12.85546875" style="26" customWidth="1"/>
    <col min="3588" max="3588" width="9.7109375" style="26" bestFit="1" customWidth="1"/>
    <col min="3589" max="3835" width="9.140625" style="26"/>
    <col min="3836" max="3836" width="15.28515625" style="26" customWidth="1"/>
    <col min="3837" max="3837" width="30.42578125" style="26" customWidth="1"/>
    <col min="3838" max="3838" width="8.85546875" style="26" customWidth="1"/>
    <col min="3839" max="3839" width="9.28515625" style="26" customWidth="1"/>
    <col min="3840" max="3840" width="10.42578125" style="26" customWidth="1"/>
    <col min="3841" max="3841" width="5" style="26" customWidth="1"/>
    <col min="3842" max="3842" width="6.28515625" style="26" customWidth="1"/>
    <col min="3843" max="3843" width="12.85546875" style="26" customWidth="1"/>
    <col min="3844" max="3844" width="9.7109375" style="26" bestFit="1" customWidth="1"/>
    <col min="3845" max="4091" width="9.140625" style="26"/>
    <col min="4092" max="4092" width="15.28515625" style="26" customWidth="1"/>
    <col min="4093" max="4093" width="30.42578125" style="26" customWidth="1"/>
    <col min="4094" max="4094" width="8.85546875" style="26" customWidth="1"/>
    <col min="4095" max="4095" width="9.28515625" style="26" customWidth="1"/>
    <col min="4096" max="4096" width="10.42578125" style="26" customWidth="1"/>
    <col min="4097" max="4097" width="5" style="26" customWidth="1"/>
    <col min="4098" max="4098" width="6.28515625" style="26" customWidth="1"/>
    <col min="4099" max="4099" width="12.85546875" style="26" customWidth="1"/>
    <col min="4100" max="4100" width="9.7109375" style="26" bestFit="1" customWidth="1"/>
    <col min="4101" max="4347" width="9.140625" style="26"/>
    <col min="4348" max="4348" width="15.28515625" style="26" customWidth="1"/>
    <col min="4349" max="4349" width="30.42578125" style="26" customWidth="1"/>
    <col min="4350" max="4350" width="8.85546875" style="26" customWidth="1"/>
    <col min="4351" max="4351" width="9.28515625" style="26" customWidth="1"/>
    <col min="4352" max="4352" width="10.42578125" style="26" customWidth="1"/>
    <col min="4353" max="4353" width="5" style="26" customWidth="1"/>
    <col min="4354" max="4354" width="6.28515625" style="26" customWidth="1"/>
    <col min="4355" max="4355" width="12.85546875" style="26" customWidth="1"/>
    <col min="4356" max="4356" width="9.7109375" style="26" bestFit="1" customWidth="1"/>
    <col min="4357" max="4603" width="9.140625" style="26"/>
    <col min="4604" max="4604" width="15.28515625" style="26" customWidth="1"/>
    <col min="4605" max="4605" width="30.42578125" style="26" customWidth="1"/>
    <col min="4606" max="4606" width="8.85546875" style="26" customWidth="1"/>
    <col min="4607" max="4607" width="9.28515625" style="26" customWidth="1"/>
    <col min="4608" max="4608" width="10.42578125" style="26" customWidth="1"/>
    <col min="4609" max="4609" width="5" style="26" customWidth="1"/>
    <col min="4610" max="4610" width="6.28515625" style="26" customWidth="1"/>
    <col min="4611" max="4611" width="12.85546875" style="26" customWidth="1"/>
    <col min="4612" max="4612" width="9.7109375" style="26" bestFit="1" customWidth="1"/>
    <col min="4613" max="4859" width="9.140625" style="26"/>
    <col min="4860" max="4860" width="15.28515625" style="26" customWidth="1"/>
    <col min="4861" max="4861" width="30.42578125" style="26" customWidth="1"/>
    <col min="4862" max="4862" width="8.85546875" style="26" customWidth="1"/>
    <col min="4863" max="4863" width="9.28515625" style="26" customWidth="1"/>
    <col min="4864" max="4864" width="10.42578125" style="26" customWidth="1"/>
    <col min="4865" max="4865" width="5" style="26" customWidth="1"/>
    <col min="4866" max="4866" width="6.28515625" style="26" customWidth="1"/>
    <col min="4867" max="4867" width="12.85546875" style="26" customWidth="1"/>
    <col min="4868" max="4868" width="9.7109375" style="26" bestFit="1" customWidth="1"/>
    <col min="4869" max="5115" width="9.140625" style="26"/>
    <col min="5116" max="5116" width="15.28515625" style="26" customWidth="1"/>
    <col min="5117" max="5117" width="30.42578125" style="26" customWidth="1"/>
    <col min="5118" max="5118" width="8.85546875" style="26" customWidth="1"/>
    <col min="5119" max="5119" width="9.28515625" style="26" customWidth="1"/>
    <col min="5120" max="5120" width="10.42578125" style="26" customWidth="1"/>
    <col min="5121" max="5121" width="5" style="26" customWidth="1"/>
    <col min="5122" max="5122" width="6.28515625" style="26" customWidth="1"/>
    <col min="5123" max="5123" width="12.85546875" style="26" customWidth="1"/>
    <col min="5124" max="5124" width="9.7109375" style="26" bestFit="1" customWidth="1"/>
    <col min="5125" max="5371" width="9.140625" style="26"/>
    <col min="5372" max="5372" width="15.28515625" style="26" customWidth="1"/>
    <col min="5373" max="5373" width="30.42578125" style="26" customWidth="1"/>
    <col min="5374" max="5374" width="8.85546875" style="26" customWidth="1"/>
    <col min="5375" max="5375" width="9.28515625" style="26" customWidth="1"/>
    <col min="5376" max="5376" width="10.42578125" style="26" customWidth="1"/>
    <col min="5377" max="5377" width="5" style="26" customWidth="1"/>
    <col min="5378" max="5378" width="6.28515625" style="26" customWidth="1"/>
    <col min="5379" max="5379" width="12.85546875" style="26" customWidth="1"/>
    <col min="5380" max="5380" width="9.7109375" style="26" bestFit="1" customWidth="1"/>
    <col min="5381" max="5627" width="9.140625" style="26"/>
    <col min="5628" max="5628" width="15.28515625" style="26" customWidth="1"/>
    <col min="5629" max="5629" width="30.42578125" style="26" customWidth="1"/>
    <col min="5630" max="5630" width="8.85546875" style="26" customWidth="1"/>
    <col min="5631" max="5631" width="9.28515625" style="26" customWidth="1"/>
    <col min="5632" max="5632" width="10.42578125" style="26" customWidth="1"/>
    <col min="5633" max="5633" width="5" style="26" customWidth="1"/>
    <col min="5634" max="5634" width="6.28515625" style="26" customWidth="1"/>
    <col min="5635" max="5635" width="12.85546875" style="26" customWidth="1"/>
    <col min="5636" max="5636" width="9.7109375" style="26" bestFit="1" customWidth="1"/>
    <col min="5637" max="5883" width="9.140625" style="26"/>
    <col min="5884" max="5884" width="15.28515625" style="26" customWidth="1"/>
    <col min="5885" max="5885" width="30.42578125" style="26" customWidth="1"/>
    <col min="5886" max="5886" width="8.85546875" style="26" customWidth="1"/>
    <col min="5887" max="5887" width="9.28515625" style="26" customWidth="1"/>
    <col min="5888" max="5888" width="10.42578125" style="26" customWidth="1"/>
    <col min="5889" max="5889" width="5" style="26" customWidth="1"/>
    <col min="5890" max="5890" width="6.28515625" style="26" customWidth="1"/>
    <col min="5891" max="5891" width="12.85546875" style="26" customWidth="1"/>
    <col min="5892" max="5892" width="9.7109375" style="26" bestFit="1" customWidth="1"/>
    <col min="5893" max="6139" width="9.140625" style="26"/>
    <col min="6140" max="6140" width="15.28515625" style="26" customWidth="1"/>
    <col min="6141" max="6141" width="30.42578125" style="26" customWidth="1"/>
    <col min="6142" max="6142" width="8.85546875" style="26" customWidth="1"/>
    <col min="6143" max="6143" width="9.28515625" style="26" customWidth="1"/>
    <col min="6144" max="6144" width="10.42578125" style="26" customWidth="1"/>
    <col min="6145" max="6145" width="5" style="26" customWidth="1"/>
    <col min="6146" max="6146" width="6.28515625" style="26" customWidth="1"/>
    <col min="6147" max="6147" width="12.85546875" style="26" customWidth="1"/>
    <col min="6148" max="6148" width="9.7109375" style="26" bestFit="1" customWidth="1"/>
    <col min="6149" max="6395" width="9.140625" style="26"/>
    <col min="6396" max="6396" width="15.28515625" style="26" customWidth="1"/>
    <col min="6397" max="6397" width="30.42578125" style="26" customWidth="1"/>
    <col min="6398" max="6398" width="8.85546875" style="26" customWidth="1"/>
    <col min="6399" max="6399" width="9.28515625" style="26" customWidth="1"/>
    <col min="6400" max="6400" width="10.42578125" style="26" customWidth="1"/>
    <col min="6401" max="6401" width="5" style="26" customWidth="1"/>
    <col min="6402" max="6402" width="6.28515625" style="26" customWidth="1"/>
    <col min="6403" max="6403" width="12.85546875" style="26" customWidth="1"/>
    <col min="6404" max="6404" width="9.7109375" style="26" bestFit="1" customWidth="1"/>
    <col min="6405" max="6651" width="9.140625" style="26"/>
    <col min="6652" max="6652" width="15.28515625" style="26" customWidth="1"/>
    <col min="6653" max="6653" width="30.42578125" style="26" customWidth="1"/>
    <col min="6654" max="6654" width="8.85546875" style="26" customWidth="1"/>
    <col min="6655" max="6655" width="9.28515625" style="26" customWidth="1"/>
    <col min="6656" max="6656" width="10.42578125" style="26" customWidth="1"/>
    <col min="6657" max="6657" width="5" style="26" customWidth="1"/>
    <col min="6658" max="6658" width="6.28515625" style="26" customWidth="1"/>
    <col min="6659" max="6659" width="12.85546875" style="26" customWidth="1"/>
    <col min="6660" max="6660" width="9.7109375" style="26" bestFit="1" customWidth="1"/>
    <col min="6661" max="6907" width="9.140625" style="26"/>
    <col min="6908" max="6908" width="15.28515625" style="26" customWidth="1"/>
    <col min="6909" max="6909" width="30.42578125" style="26" customWidth="1"/>
    <col min="6910" max="6910" width="8.85546875" style="26" customWidth="1"/>
    <col min="6911" max="6911" width="9.28515625" style="26" customWidth="1"/>
    <col min="6912" max="6912" width="10.42578125" style="26" customWidth="1"/>
    <col min="6913" max="6913" width="5" style="26" customWidth="1"/>
    <col min="6914" max="6914" width="6.28515625" style="26" customWidth="1"/>
    <col min="6915" max="6915" width="12.85546875" style="26" customWidth="1"/>
    <col min="6916" max="6916" width="9.7109375" style="26" bestFit="1" customWidth="1"/>
    <col min="6917" max="7163" width="9.140625" style="26"/>
    <col min="7164" max="7164" width="15.28515625" style="26" customWidth="1"/>
    <col min="7165" max="7165" width="30.42578125" style="26" customWidth="1"/>
    <col min="7166" max="7166" width="8.85546875" style="26" customWidth="1"/>
    <col min="7167" max="7167" width="9.28515625" style="26" customWidth="1"/>
    <col min="7168" max="7168" width="10.42578125" style="26" customWidth="1"/>
    <col min="7169" max="7169" width="5" style="26" customWidth="1"/>
    <col min="7170" max="7170" width="6.28515625" style="26" customWidth="1"/>
    <col min="7171" max="7171" width="12.85546875" style="26" customWidth="1"/>
    <col min="7172" max="7172" width="9.7109375" style="26" bestFit="1" customWidth="1"/>
    <col min="7173" max="7419" width="9.140625" style="26"/>
    <col min="7420" max="7420" width="15.28515625" style="26" customWidth="1"/>
    <col min="7421" max="7421" width="30.42578125" style="26" customWidth="1"/>
    <col min="7422" max="7422" width="8.85546875" style="26" customWidth="1"/>
    <col min="7423" max="7423" width="9.28515625" style="26" customWidth="1"/>
    <col min="7424" max="7424" width="10.42578125" style="26" customWidth="1"/>
    <col min="7425" max="7425" width="5" style="26" customWidth="1"/>
    <col min="7426" max="7426" width="6.28515625" style="26" customWidth="1"/>
    <col min="7427" max="7427" width="12.85546875" style="26" customWidth="1"/>
    <col min="7428" max="7428" width="9.7109375" style="26" bestFit="1" customWidth="1"/>
    <col min="7429" max="7675" width="9.140625" style="26"/>
    <col min="7676" max="7676" width="15.28515625" style="26" customWidth="1"/>
    <col min="7677" max="7677" width="30.42578125" style="26" customWidth="1"/>
    <col min="7678" max="7678" width="8.85546875" style="26" customWidth="1"/>
    <col min="7679" max="7679" width="9.28515625" style="26" customWidth="1"/>
    <col min="7680" max="7680" width="10.42578125" style="26" customWidth="1"/>
    <col min="7681" max="7681" width="5" style="26" customWidth="1"/>
    <col min="7682" max="7682" width="6.28515625" style="26" customWidth="1"/>
    <col min="7683" max="7683" width="12.85546875" style="26" customWidth="1"/>
    <col min="7684" max="7684" width="9.7109375" style="26" bestFit="1" customWidth="1"/>
    <col min="7685" max="7931" width="9.140625" style="26"/>
    <col min="7932" max="7932" width="15.28515625" style="26" customWidth="1"/>
    <col min="7933" max="7933" width="30.42578125" style="26" customWidth="1"/>
    <col min="7934" max="7934" width="8.85546875" style="26" customWidth="1"/>
    <col min="7935" max="7935" width="9.28515625" style="26" customWidth="1"/>
    <col min="7936" max="7936" width="10.42578125" style="26" customWidth="1"/>
    <col min="7937" max="7937" width="5" style="26" customWidth="1"/>
    <col min="7938" max="7938" width="6.28515625" style="26" customWidth="1"/>
    <col min="7939" max="7939" width="12.85546875" style="26" customWidth="1"/>
    <col min="7940" max="7940" width="9.7109375" style="26" bestFit="1" customWidth="1"/>
    <col min="7941" max="8187" width="9.140625" style="26"/>
    <col min="8188" max="8188" width="15.28515625" style="26" customWidth="1"/>
    <col min="8189" max="8189" width="30.42578125" style="26" customWidth="1"/>
    <col min="8190" max="8190" width="8.85546875" style="26" customWidth="1"/>
    <col min="8191" max="8191" width="9.28515625" style="26" customWidth="1"/>
    <col min="8192" max="8192" width="10.42578125" style="26" customWidth="1"/>
    <col min="8193" max="8193" width="5" style="26" customWidth="1"/>
    <col min="8194" max="8194" width="6.28515625" style="26" customWidth="1"/>
    <col min="8195" max="8195" width="12.85546875" style="26" customWidth="1"/>
    <col min="8196" max="8196" width="9.7109375" style="26" bestFit="1" customWidth="1"/>
    <col min="8197" max="8443" width="9.140625" style="26"/>
    <col min="8444" max="8444" width="15.28515625" style="26" customWidth="1"/>
    <col min="8445" max="8445" width="30.42578125" style="26" customWidth="1"/>
    <col min="8446" max="8446" width="8.85546875" style="26" customWidth="1"/>
    <col min="8447" max="8447" width="9.28515625" style="26" customWidth="1"/>
    <col min="8448" max="8448" width="10.42578125" style="26" customWidth="1"/>
    <col min="8449" max="8449" width="5" style="26" customWidth="1"/>
    <col min="8450" max="8450" width="6.28515625" style="26" customWidth="1"/>
    <col min="8451" max="8451" width="12.85546875" style="26" customWidth="1"/>
    <col min="8452" max="8452" width="9.7109375" style="26" bestFit="1" customWidth="1"/>
    <col min="8453" max="8699" width="9.140625" style="26"/>
    <col min="8700" max="8700" width="15.28515625" style="26" customWidth="1"/>
    <col min="8701" max="8701" width="30.42578125" style="26" customWidth="1"/>
    <col min="8702" max="8702" width="8.85546875" style="26" customWidth="1"/>
    <col min="8703" max="8703" width="9.28515625" style="26" customWidth="1"/>
    <col min="8704" max="8704" width="10.42578125" style="26" customWidth="1"/>
    <col min="8705" max="8705" width="5" style="26" customWidth="1"/>
    <col min="8706" max="8706" width="6.28515625" style="26" customWidth="1"/>
    <col min="8707" max="8707" width="12.85546875" style="26" customWidth="1"/>
    <col min="8708" max="8708" width="9.7109375" style="26" bestFit="1" customWidth="1"/>
    <col min="8709" max="8955" width="9.140625" style="26"/>
    <col min="8956" max="8956" width="15.28515625" style="26" customWidth="1"/>
    <col min="8957" max="8957" width="30.42578125" style="26" customWidth="1"/>
    <col min="8958" max="8958" width="8.85546875" style="26" customWidth="1"/>
    <col min="8959" max="8959" width="9.28515625" style="26" customWidth="1"/>
    <col min="8960" max="8960" width="10.42578125" style="26" customWidth="1"/>
    <col min="8961" max="8961" width="5" style="26" customWidth="1"/>
    <col min="8962" max="8962" width="6.28515625" style="26" customWidth="1"/>
    <col min="8963" max="8963" width="12.85546875" style="26" customWidth="1"/>
    <col min="8964" max="8964" width="9.7109375" style="26" bestFit="1" customWidth="1"/>
    <col min="8965" max="9211" width="9.140625" style="26"/>
    <col min="9212" max="9212" width="15.28515625" style="26" customWidth="1"/>
    <col min="9213" max="9213" width="30.42578125" style="26" customWidth="1"/>
    <col min="9214" max="9214" width="8.85546875" style="26" customWidth="1"/>
    <col min="9215" max="9215" width="9.28515625" style="26" customWidth="1"/>
    <col min="9216" max="9216" width="10.42578125" style="26" customWidth="1"/>
    <col min="9217" max="9217" width="5" style="26" customWidth="1"/>
    <col min="9218" max="9218" width="6.28515625" style="26" customWidth="1"/>
    <col min="9219" max="9219" width="12.85546875" style="26" customWidth="1"/>
    <col min="9220" max="9220" width="9.7109375" style="26" bestFit="1" customWidth="1"/>
    <col min="9221" max="9467" width="9.140625" style="26"/>
    <col min="9468" max="9468" width="15.28515625" style="26" customWidth="1"/>
    <col min="9469" max="9469" width="30.42578125" style="26" customWidth="1"/>
    <col min="9470" max="9470" width="8.85546875" style="26" customWidth="1"/>
    <col min="9471" max="9471" width="9.28515625" style="26" customWidth="1"/>
    <col min="9472" max="9472" width="10.42578125" style="26" customWidth="1"/>
    <col min="9473" max="9473" width="5" style="26" customWidth="1"/>
    <col min="9474" max="9474" width="6.28515625" style="26" customWidth="1"/>
    <col min="9475" max="9475" width="12.85546875" style="26" customWidth="1"/>
    <col min="9476" max="9476" width="9.7109375" style="26" bestFit="1" customWidth="1"/>
    <col min="9477" max="9723" width="9.140625" style="26"/>
    <col min="9724" max="9724" width="15.28515625" style="26" customWidth="1"/>
    <col min="9725" max="9725" width="30.42578125" style="26" customWidth="1"/>
    <col min="9726" max="9726" width="8.85546875" style="26" customWidth="1"/>
    <col min="9727" max="9727" width="9.28515625" style="26" customWidth="1"/>
    <col min="9728" max="9728" width="10.42578125" style="26" customWidth="1"/>
    <col min="9729" max="9729" width="5" style="26" customWidth="1"/>
    <col min="9730" max="9730" width="6.28515625" style="26" customWidth="1"/>
    <col min="9731" max="9731" width="12.85546875" style="26" customWidth="1"/>
    <col min="9732" max="9732" width="9.7109375" style="26" bestFit="1" customWidth="1"/>
    <col min="9733" max="9979" width="9.140625" style="26"/>
    <col min="9980" max="9980" width="15.28515625" style="26" customWidth="1"/>
    <col min="9981" max="9981" width="30.42578125" style="26" customWidth="1"/>
    <col min="9982" max="9982" width="8.85546875" style="26" customWidth="1"/>
    <col min="9983" max="9983" width="9.28515625" style="26" customWidth="1"/>
    <col min="9984" max="9984" width="10.42578125" style="26" customWidth="1"/>
    <col min="9985" max="9985" width="5" style="26" customWidth="1"/>
    <col min="9986" max="9986" width="6.28515625" style="26" customWidth="1"/>
    <col min="9987" max="9987" width="12.85546875" style="26" customWidth="1"/>
    <col min="9988" max="9988" width="9.7109375" style="26" bestFit="1" customWidth="1"/>
    <col min="9989" max="10235" width="9.140625" style="26"/>
    <col min="10236" max="10236" width="15.28515625" style="26" customWidth="1"/>
    <col min="10237" max="10237" width="30.42578125" style="26" customWidth="1"/>
    <col min="10238" max="10238" width="8.85546875" style="26" customWidth="1"/>
    <col min="10239" max="10239" width="9.28515625" style="26" customWidth="1"/>
    <col min="10240" max="10240" width="10.42578125" style="26" customWidth="1"/>
    <col min="10241" max="10241" width="5" style="26" customWidth="1"/>
    <col min="10242" max="10242" width="6.28515625" style="26" customWidth="1"/>
    <col min="10243" max="10243" width="12.85546875" style="26" customWidth="1"/>
    <col min="10244" max="10244" width="9.7109375" style="26" bestFit="1" customWidth="1"/>
    <col min="10245" max="10491" width="9.140625" style="26"/>
    <col min="10492" max="10492" width="15.28515625" style="26" customWidth="1"/>
    <col min="10493" max="10493" width="30.42578125" style="26" customWidth="1"/>
    <col min="10494" max="10494" width="8.85546875" style="26" customWidth="1"/>
    <col min="10495" max="10495" width="9.28515625" style="26" customWidth="1"/>
    <col min="10496" max="10496" width="10.42578125" style="26" customWidth="1"/>
    <col min="10497" max="10497" width="5" style="26" customWidth="1"/>
    <col min="10498" max="10498" width="6.28515625" style="26" customWidth="1"/>
    <col min="10499" max="10499" width="12.85546875" style="26" customWidth="1"/>
    <col min="10500" max="10500" width="9.7109375" style="26" bestFit="1" customWidth="1"/>
    <col min="10501" max="10747" width="9.140625" style="26"/>
    <col min="10748" max="10748" width="15.28515625" style="26" customWidth="1"/>
    <col min="10749" max="10749" width="30.42578125" style="26" customWidth="1"/>
    <col min="10750" max="10750" width="8.85546875" style="26" customWidth="1"/>
    <col min="10751" max="10751" width="9.28515625" style="26" customWidth="1"/>
    <col min="10752" max="10752" width="10.42578125" style="26" customWidth="1"/>
    <col min="10753" max="10753" width="5" style="26" customWidth="1"/>
    <col min="10754" max="10754" width="6.28515625" style="26" customWidth="1"/>
    <col min="10755" max="10755" width="12.85546875" style="26" customWidth="1"/>
    <col min="10756" max="10756" width="9.7109375" style="26" bestFit="1" customWidth="1"/>
    <col min="10757" max="11003" width="9.140625" style="26"/>
    <col min="11004" max="11004" width="15.28515625" style="26" customWidth="1"/>
    <col min="11005" max="11005" width="30.42578125" style="26" customWidth="1"/>
    <col min="11006" max="11006" width="8.85546875" style="26" customWidth="1"/>
    <col min="11007" max="11007" width="9.28515625" style="26" customWidth="1"/>
    <col min="11008" max="11008" width="10.42578125" style="26" customWidth="1"/>
    <col min="11009" max="11009" width="5" style="26" customWidth="1"/>
    <col min="11010" max="11010" width="6.28515625" style="26" customWidth="1"/>
    <col min="11011" max="11011" width="12.85546875" style="26" customWidth="1"/>
    <col min="11012" max="11012" width="9.7109375" style="26" bestFit="1" customWidth="1"/>
    <col min="11013" max="11259" width="9.140625" style="26"/>
    <col min="11260" max="11260" width="15.28515625" style="26" customWidth="1"/>
    <col min="11261" max="11261" width="30.42578125" style="26" customWidth="1"/>
    <col min="11262" max="11262" width="8.85546875" style="26" customWidth="1"/>
    <col min="11263" max="11263" width="9.28515625" style="26" customWidth="1"/>
    <col min="11264" max="11264" width="10.42578125" style="26" customWidth="1"/>
    <col min="11265" max="11265" width="5" style="26" customWidth="1"/>
    <col min="11266" max="11266" width="6.28515625" style="26" customWidth="1"/>
    <col min="11267" max="11267" width="12.85546875" style="26" customWidth="1"/>
    <col min="11268" max="11268" width="9.7109375" style="26" bestFit="1" customWidth="1"/>
    <col min="11269" max="11515" width="9.140625" style="26"/>
    <col min="11516" max="11516" width="15.28515625" style="26" customWidth="1"/>
    <col min="11517" max="11517" width="30.42578125" style="26" customWidth="1"/>
    <col min="11518" max="11518" width="8.85546875" style="26" customWidth="1"/>
    <col min="11519" max="11519" width="9.28515625" style="26" customWidth="1"/>
    <col min="11520" max="11520" width="10.42578125" style="26" customWidth="1"/>
    <col min="11521" max="11521" width="5" style="26" customWidth="1"/>
    <col min="11522" max="11522" width="6.28515625" style="26" customWidth="1"/>
    <col min="11523" max="11523" width="12.85546875" style="26" customWidth="1"/>
    <col min="11524" max="11524" width="9.7109375" style="26" bestFit="1" customWidth="1"/>
    <col min="11525" max="11771" width="9.140625" style="26"/>
    <col min="11772" max="11772" width="15.28515625" style="26" customWidth="1"/>
    <col min="11773" max="11773" width="30.42578125" style="26" customWidth="1"/>
    <col min="11774" max="11774" width="8.85546875" style="26" customWidth="1"/>
    <col min="11775" max="11775" width="9.28515625" style="26" customWidth="1"/>
    <col min="11776" max="11776" width="10.42578125" style="26" customWidth="1"/>
    <col min="11777" max="11777" width="5" style="26" customWidth="1"/>
    <col min="11778" max="11778" width="6.28515625" style="26" customWidth="1"/>
    <col min="11779" max="11779" width="12.85546875" style="26" customWidth="1"/>
    <col min="11780" max="11780" width="9.7109375" style="26" bestFit="1" customWidth="1"/>
    <col min="11781" max="12027" width="9.140625" style="26"/>
    <col min="12028" max="12028" width="15.28515625" style="26" customWidth="1"/>
    <col min="12029" max="12029" width="30.42578125" style="26" customWidth="1"/>
    <col min="12030" max="12030" width="8.85546875" style="26" customWidth="1"/>
    <col min="12031" max="12031" width="9.28515625" style="26" customWidth="1"/>
    <col min="12032" max="12032" width="10.42578125" style="26" customWidth="1"/>
    <col min="12033" max="12033" width="5" style="26" customWidth="1"/>
    <col min="12034" max="12034" width="6.28515625" style="26" customWidth="1"/>
    <col min="12035" max="12035" width="12.85546875" style="26" customWidth="1"/>
    <col min="12036" max="12036" width="9.7109375" style="26" bestFit="1" customWidth="1"/>
    <col min="12037" max="12283" width="9.140625" style="26"/>
    <col min="12284" max="12284" width="15.28515625" style="26" customWidth="1"/>
    <col min="12285" max="12285" width="30.42578125" style="26" customWidth="1"/>
    <col min="12286" max="12286" width="8.85546875" style="26" customWidth="1"/>
    <col min="12287" max="12287" width="9.28515625" style="26" customWidth="1"/>
    <col min="12288" max="12288" width="10.42578125" style="26" customWidth="1"/>
    <col min="12289" max="12289" width="5" style="26" customWidth="1"/>
    <col min="12290" max="12290" width="6.28515625" style="26" customWidth="1"/>
    <col min="12291" max="12291" width="12.85546875" style="26" customWidth="1"/>
    <col min="12292" max="12292" width="9.7109375" style="26" bestFit="1" customWidth="1"/>
    <col min="12293" max="12539" width="9.140625" style="26"/>
    <col min="12540" max="12540" width="15.28515625" style="26" customWidth="1"/>
    <col min="12541" max="12541" width="30.42578125" style="26" customWidth="1"/>
    <col min="12542" max="12542" width="8.85546875" style="26" customWidth="1"/>
    <col min="12543" max="12543" width="9.28515625" style="26" customWidth="1"/>
    <col min="12544" max="12544" width="10.42578125" style="26" customWidth="1"/>
    <col min="12545" max="12545" width="5" style="26" customWidth="1"/>
    <col min="12546" max="12546" width="6.28515625" style="26" customWidth="1"/>
    <col min="12547" max="12547" width="12.85546875" style="26" customWidth="1"/>
    <col min="12548" max="12548" width="9.7109375" style="26" bestFit="1" customWidth="1"/>
    <col min="12549" max="12795" width="9.140625" style="26"/>
    <col min="12796" max="12796" width="15.28515625" style="26" customWidth="1"/>
    <col min="12797" max="12797" width="30.42578125" style="26" customWidth="1"/>
    <col min="12798" max="12798" width="8.85546875" style="26" customWidth="1"/>
    <col min="12799" max="12799" width="9.28515625" style="26" customWidth="1"/>
    <col min="12800" max="12800" width="10.42578125" style="26" customWidth="1"/>
    <col min="12801" max="12801" width="5" style="26" customWidth="1"/>
    <col min="12802" max="12802" width="6.28515625" style="26" customWidth="1"/>
    <col min="12803" max="12803" width="12.85546875" style="26" customWidth="1"/>
    <col min="12804" max="12804" width="9.7109375" style="26" bestFit="1" customWidth="1"/>
    <col min="12805" max="13051" width="9.140625" style="26"/>
    <col min="13052" max="13052" width="15.28515625" style="26" customWidth="1"/>
    <col min="13053" max="13053" width="30.42578125" style="26" customWidth="1"/>
    <col min="13054" max="13054" width="8.85546875" style="26" customWidth="1"/>
    <col min="13055" max="13055" width="9.28515625" style="26" customWidth="1"/>
    <col min="13056" max="13056" width="10.42578125" style="26" customWidth="1"/>
    <col min="13057" max="13057" width="5" style="26" customWidth="1"/>
    <col min="13058" max="13058" width="6.28515625" style="26" customWidth="1"/>
    <col min="13059" max="13059" width="12.85546875" style="26" customWidth="1"/>
    <col min="13060" max="13060" width="9.7109375" style="26" bestFit="1" customWidth="1"/>
    <col min="13061" max="13307" width="9.140625" style="26"/>
    <col min="13308" max="13308" width="15.28515625" style="26" customWidth="1"/>
    <col min="13309" max="13309" width="30.42578125" style="26" customWidth="1"/>
    <col min="13310" max="13310" width="8.85546875" style="26" customWidth="1"/>
    <col min="13311" max="13311" width="9.28515625" style="26" customWidth="1"/>
    <col min="13312" max="13312" width="10.42578125" style="26" customWidth="1"/>
    <col min="13313" max="13313" width="5" style="26" customWidth="1"/>
    <col min="13314" max="13314" width="6.28515625" style="26" customWidth="1"/>
    <col min="13315" max="13315" width="12.85546875" style="26" customWidth="1"/>
    <col min="13316" max="13316" width="9.7109375" style="26" bestFit="1" customWidth="1"/>
    <col min="13317" max="13563" width="9.140625" style="26"/>
    <col min="13564" max="13564" width="15.28515625" style="26" customWidth="1"/>
    <col min="13565" max="13565" width="30.42578125" style="26" customWidth="1"/>
    <col min="13566" max="13566" width="8.85546875" style="26" customWidth="1"/>
    <col min="13567" max="13567" width="9.28515625" style="26" customWidth="1"/>
    <col min="13568" max="13568" width="10.42578125" style="26" customWidth="1"/>
    <col min="13569" max="13569" width="5" style="26" customWidth="1"/>
    <col min="13570" max="13570" width="6.28515625" style="26" customWidth="1"/>
    <col min="13571" max="13571" width="12.85546875" style="26" customWidth="1"/>
    <col min="13572" max="13572" width="9.7109375" style="26" bestFit="1" customWidth="1"/>
    <col min="13573" max="13819" width="9.140625" style="26"/>
    <col min="13820" max="13820" width="15.28515625" style="26" customWidth="1"/>
    <col min="13821" max="13821" width="30.42578125" style="26" customWidth="1"/>
    <col min="13822" max="13822" width="8.85546875" style="26" customWidth="1"/>
    <col min="13823" max="13823" width="9.28515625" style="26" customWidth="1"/>
    <col min="13824" max="13824" width="10.42578125" style="26" customWidth="1"/>
    <col min="13825" max="13825" width="5" style="26" customWidth="1"/>
    <col min="13826" max="13826" width="6.28515625" style="26" customWidth="1"/>
    <col min="13827" max="13827" width="12.85546875" style="26" customWidth="1"/>
    <col min="13828" max="13828" width="9.7109375" style="26" bestFit="1" customWidth="1"/>
    <col min="13829" max="14075" width="9.140625" style="26"/>
    <col min="14076" max="14076" width="15.28515625" style="26" customWidth="1"/>
    <col min="14077" max="14077" width="30.42578125" style="26" customWidth="1"/>
    <col min="14078" max="14078" width="8.85546875" style="26" customWidth="1"/>
    <col min="14079" max="14079" width="9.28515625" style="26" customWidth="1"/>
    <col min="14080" max="14080" width="10.42578125" style="26" customWidth="1"/>
    <col min="14081" max="14081" width="5" style="26" customWidth="1"/>
    <col min="14082" max="14082" width="6.28515625" style="26" customWidth="1"/>
    <col min="14083" max="14083" width="12.85546875" style="26" customWidth="1"/>
    <col min="14084" max="14084" width="9.7109375" style="26" bestFit="1" customWidth="1"/>
    <col min="14085" max="14331" width="9.140625" style="26"/>
    <col min="14332" max="14332" width="15.28515625" style="26" customWidth="1"/>
    <col min="14333" max="14333" width="30.42578125" style="26" customWidth="1"/>
    <col min="14334" max="14334" width="8.85546875" style="26" customWidth="1"/>
    <col min="14335" max="14335" width="9.28515625" style="26" customWidth="1"/>
    <col min="14336" max="14336" width="10.42578125" style="26" customWidth="1"/>
    <col min="14337" max="14337" width="5" style="26" customWidth="1"/>
    <col min="14338" max="14338" width="6.28515625" style="26" customWidth="1"/>
    <col min="14339" max="14339" width="12.85546875" style="26" customWidth="1"/>
    <col min="14340" max="14340" width="9.7109375" style="26" bestFit="1" customWidth="1"/>
    <col min="14341" max="14587" width="9.140625" style="26"/>
    <col min="14588" max="14588" width="15.28515625" style="26" customWidth="1"/>
    <col min="14589" max="14589" width="30.42578125" style="26" customWidth="1"/>
    <col min="14590" max="14590" width="8.85546875" style="26" customWidth="1"/>
    <col min="14591" max="14591" width="9.28515625" style="26" customWidth="1"/>
    <col min="14592" max="14592" width="10.42578125" style="26" customWidth="1"/>
    <col min="14593" max="14593" width="5" style="26" customWidth="1"/>
    <col min="14594" max="14594" width="6.28515625" style="26" customWidth="1"/>
    <col min="14595" max="14595" width="12.85546875" style="26" customWidth="1"/>
    <col min="14596" max="14596" width="9.7109375" style="26" bestFit="1" customWidth="1"/>
    <col min="14597" max="14843" width="9.140625" style="26"/>
    <col min="14844" max="14844" width="15.28515625" style="26" customWidth="1"/>
    <col min="14845" max="14845" width="30.42578125" style="26" customWidth="1"/>
    <col min="14846" max="14846" width="8.85546875" style="26" customWidth="1"/>
    <col min="14847" max="14847" width="9.28515625" style="26" customWidth="1"/>
    <col min="14848" max="14848" width="10.42578125" style="26" customWidth="1"/>
    <col min="14849" max="14849" width="5" style="26" customWidth="1"/>
    <col min="14850" max="14850" width="6.28515625" style="26" customWidth="1"/>
    <col min="14851" max="14851" width="12.85546875" style="26" customWidth="1"/>
    <col min="14852" max="14852" width="9.7109375" style="26" bestFit="1" customWidth="1"/>
    <col min="14853" max="15099" width="9.140625" style="26"/>
    <col min="15100" max="15100" width="15.28515625" style="26" customWidth="1"/>
    <col min="15101" max="15101" width="30.42578125" style="26" customWidth="1"/>
    <col min="15102" max="15102" width="8.85546875" style="26" customWidth="1"/>
    <col min="15103" max="15103" width="9.28515625" style="26" customWidth="1"/>
    <col min="15104" max="15104" width="10.42578125" style="26" customWidth="1"/>
    <col min="15105" max="15105" width="5" style="26" customWidth="1"/>
    <col min="15106" max="15106" width="6.28515625" style="26" customWidth="1"/>
    <col min="15107" max="15107" width="12.85546875" style="26" customWidth="1"/>
    <col min="15108" max="15108" width="9.7109375" style="26" bestFit="1" customWidth="1"/>
    <col min="15109" max="15355" width="9.140625" style="26"/>
    <col min="15356" max="15356" width="15.28515625" style="26" customWidth="1"/>
    <col min="15357" max="15357" width="30.42578125" style="26" customWidth="1"/>
    <col min="15358" max="15358" width="8.85546875" style="26" customWidth="1"/>
    <col min="15359" max="15359" width="9.28515625" style="26" customWidth="1"/>
    <col min="15360" max="15360" width="10.42578125" style="26" customWidth="1"/>
    <col min="15361" max="15361" width="5" style="26" customWidth="1"/>
    <col min="15362" max="15362" width="6.28515625" style="26" customWidth="1"/>
    <col min="15363" max="15363" width="12.85546875" style="26" customWidth="1"/>
    <col min="15364" max="15364" width="9.7109375" style="26" bestFit="1" customWidth="1"/>
    <col min="15365" max="15611" width="9.140625" style="26"/>
    <col min="15612" max="15612" width="15.28515625" style="26" customWidth="1"/>
    <col min="15613" max="15613" width="30.42578125" style="26" customWidth="1"/>
    <col min="15614" max="15614" width="8.85546875" style="26" customWidth="1"/>
    <col min="15615" max="15615" width="9.28515625" style="26" customWidth="1"/>
    <col min="15616" max="15616" width="10.42578125" style="26" customWidth="1"/>
    <col min="15617" max="15617" width="5" style="26" customWidth="1"/>
    <col min="15618" max="15618" width="6.28515625" style="26" customWidth="1"/>
    <col min="15619" max="15619" width="12.85546875" style="26" customWidth="1"/>
    <col min="15620" max="15620" width="9.7109375" style="26" bestFit="1" customWidth="1"/>
    <col min="15621" max="15867" width="9.140625" style="26"/>
    <col min="15868" max="15868" width="15.28515625" style="26" customWidth="1"/>
    <col min="15869" max="15869" width="30.42578125" style="26" customWidth="1"/>
    <col min="15870" max="15870" width="8.85546875" style="26" customWidth="1"/>
    <col min="15871" max="15871" width="9.28515625" style="26" customWidth="1"/>
    <col min="15872" max="15872" width="10.42578125" style="26" customWidth="1"/>
    <col min="15873" max="15873" width="5" style="26" customWidth="1"/>
    <col min="15874" max="15874" width="6.28515625" style="26" customWidth="1"/>
    <col min="15875" max="15875" width="12.85546875" style="26" customWidth="1"/>
    <col min="15876" max="15876" width="9.7109375" style="26" bestFit="1" customWidth="1"/>
    <col min="15877" max="16123" width="9.140625" style="26"/>
    <col min="16124" max="16124" width="15.28515625" style="26" customWidth="1"/>
    <col min="16125" max="16125" width="30.42578125" style="26" customWidth="1"/>
    <col min="16126" max="16126" width="8.85546875" style="26" customWidth="1"/>
    <col min="16127" max="16127" width="9.28515625" style="26" customWidth="1"/>
    <col min="16128" max="16128" width="10.42578125" style="26" customWidth="1"/>
    <col min="16129" max="16129" width="5" style="26" customWidth="1"/>
    <col min="16130" max="16130" width="6.28515625" style="26" customWidth="1"/>
    <col min="16131" max="16131" width="12.85546875" style="26" customWidth="1"/>
    <col min="16132" max="16132" width="9.7109375" style="26" bestFit="1" customWidth="1"/>
    <col min="16133" max="16384" width="9.140625" style="26"/>
  </cols>
  <sheetData>
    <row r="2" spans="2:11" ht="13.5" customHeight="1" x14ac:dyDescent="0.2">
      <c r="B2" s="24"/>
      <c r="C2" s="24"/>
      <c r="D2" s="137" t="s">
        <v>106</v>
      </c>
      <c r="E2" s="137"/>
      <c r="F2" s="137"/>
      <c r="G2" s="137"/>
      <c r="H2" s="137"/>
      <c r="I2" s="25"/>
      <c r="J2" s="26"/>
    </row>
    <row r="3" spans="2:11" ht="14.25" customHeight="1" x14ac:dyDescent="0.2">
      <c r="D3" s="138" t="s">
        <v>103</v>
      </c>
      <c r="E3" s="138"/>
      <c r="F3" s="138"/>
      <c r="G3" s="138"/>
      <c r="H3" s="138"/>
      <c r="I3" s="25"/>
      <c r="J3" s="26"/>
    </row>
    <row r="4" spans="2:11" ht="11.25" customHeight="1" x14ac:dyDescent="0.2">
      <c r="D4" s="138" t="s">
        <v>104</v>
      </c>
      <c r="E4" s="138"/>
      <c r="F4" s="138"/>
      <c r="G4" s="138"/>
      <c r="H4" s="138"/>
      <c r="I4" s="28"/>
      <c r="J4" s="26"/>
    </row>
    <row r="5" spans="2:11" ht="12" customHeight="1" x14ac:dyDescent="0.2">
      <c r="D5" s="138" t="s">
        <v>105</v>
      </c>
      <c r="E5" s="138"/>
      <c r="F5" s="138"/>
      <c r="G5" s="138"/>
      <c r="H5" s="138"/>
      <c r="I5" s="28"/>
      <c r="J5" s="26"/>
    </row>
    <row r="6" spans="2:11" ht="12.75" customHeight="1" x14ac:dyDescent="0.2">
      <c r="B6" s="29"/>
      <c r="C6" s="29"/>
      <c r="D6" s="139" t="s">
        <v>107</v>
      </c>
      <c r="E6" s="139"/>
      <c r="F6" s="139"/>
      <c r="G6" s="139"/>
      <c r="H6" s="139"/>
      <c r="I6" s="28"/>
      <c r="J6" s="26"/>
    </row>
    <row r="7" spans="2:11" ht="12.75" customHeight="1" x14ac:dyDescent="0.2">
      <c r="D7" s="30"/>
      <c r="E7" s="30"/>
      <c r="F7" s="30"/>
      <c r="G7" s="30"/>
      <c r="H7" s="30"/>
      <c r="I7" s="28"/>
    </row>
    <row r="8" spans="2:11" s="36" customFormat="1" x14ac:dyDescent="0.2">
      <c r="B8" s="31" t="s">
        <v>29</v>
      </c>
      <c r="C8" s="31"/>
      <c r="D8" s="32" t="s">
        <v>30</v>
      </c>
      <c r="E8" s="26"/>
      <c r="F8" s="33"/>
      <c r="G8" s="33"/>
      <c r="H8" s="34"/>
      <c r="I8" s="35"/>
      <c r="J8" s="35"/>
      <c r="K8" s="35"/>
    </row>
    <row r="9" spans="2:11" s="36" customFormat="1" x14ac:dyDescent="0.2">
      <c r="B9" s="31"/>
      <c r="C9" s="31"/>
      <c r="D9" s="32"/>
      <c r="E9" s="26"/>
      <c r="F9" s="33"/>
      <c r="G9" s="33"/>
      <c r="H9" s="34"/>
      <c r="I9" s="35"/>
      <c r="J9" s="35"/>
      <c r="K9" s="35"/>
    </row>
    <row r="10" spans="2:11" s="36" customFormat="1" x14ac:dyDescent="0.2">
      <c r="B10" s="31"/>
      <c r="C10" s="31"/>
      <c r="D10" s="32"/>
      <c r="E10" s="26"/>
      <c r="F10" s="33"/>
      <c r="G10" s="33"/>
      <c r="H10" s="34"/>
      <c r="I10" s="35"/>
      <c r="J10" s="35"/>
      <c r="K10" s="35"/>
    </row>
    <row r="11" spans="2:11" s="36" customFormat="1" x14ac:dyDescent="0.2">
      <c r="B11" s="31"/>
      <c r="C11" s="31"/>
      <c r="D11" s="32"/>
      <c r="E11" s="26"/>
      <c r="F11" s="33"/>
      <c r="G11" s="33"/>
      <c r="H11" s="34"/>
      <c r="I11" s="35"/>
      <c r="J11" s="35"/>
      <c r="K11" s="35"/>
    </row>
    <row r="12" spans="2:11" s="36" customFormat="1" x14ac:dyDescent="0.2">
      <c r="B12" s="31"/>
      <c r="C12" s="31"/>
      <c r="D12" s="32"/>
      <c r="E12" s="26"/>
      <c r="F12" s="33"/>
      <c r="G12" s="33"/>
      <c r="H12" s="34"/>
      <c r="I12" s="35"/>
      <c r="J12" s="35"/>
      <c r="K12" s="35"/>
    </row>
    <row r="13" spans="2:11" s="36" customFormat="1" ht="15" x14ac:dyDescent="0.25">
      <c r="B13" s="26"/>
      <c r="C13" s="26"/>
      <c r="D13" s="32" t="s">
        <v>31</v>
      </c>
      <c r="E13" s="26"/>
      <c r="F13" s="33"/>
      <c r="G13" s="37"/>
      <c r="H13" s="34"/>
      <c r="I13" s="35"/>
      <c r="J13" s="35"/>
      <c r="K13" s="35"/>
    </row>
    <row r="14" spans="2:11" s="36" customFormat="1" ht="15" x14ac:dyDescent="0.25">
      <c r="B14" s="26"/>
      <c r="C14" s="26"/>
      <c r="D14" s="32"/>
      <c r="E14" s="26"/>
      <c r="F14" s="33"/>
      <c r="G14" s="37"/>
      <c r="H14" s="34"/>
      <c r="I14" s="35"/>
      <c r="J14" s="35"/>
      <c r="K14" s="35"/>
    </row>
    <row r="15" spans="2:11" s="36" customFormat="1" ht="30" customHeight="1" x14ac:dyDescent="0.2">
      <c r="B15" s="126" t="s">
        <v>118</v>
      </c>
      <c r="C15" s="126"/>
      <c r="D15" s="126"/>
      <c r="E15" s="126"/>
      <c r="F15" s="38"/>
      <c r="G15" s="38"/>
      <c r="H15" s="34"/>
      <c r="I15" s="35"/>
      <c r="J15" s="35"/>
      <c r="K15" s="35"/>
    </row>
    <row r="16" spans="2:11" ht="12.75" customHeight="1" x14ac:dyDescent="0.2">
      <c r="D16" s="30"/>
      <c r="E16" s="30"/>
      <c r="F16" s="30"/>
      <c r="G16" s="30"/>
      <c r="H16" s="30"/>
      <c r="I16" s="28"/>
    </row>
    <row r="17" spans="2:12" ht="18" customHeight="1" thickBot="1" x14ac:dyDescent="0.25">
      <c r="B17" s="79" t="s">
        <v>108</v>
      </c>
      <c r="C17" s="80"/>
      <c r="D17" s="80"/>
      <c r="E17" s="80"/>
      <c r="F17" s="80"/>
      <c r="G17" s="80"/>
      <c r="H17" s="81"/>
      <c r="I17" s="103" t="str">
        <f>B15</f>
        <v>CONSTRUÇÃO DE RODOVIAS E FERROVIAS</v>
      </c>
      <c r="J17" s="103"/>
      <c r="K17" s="103"/>
    </row>
    <row r="18" spans="2:12" ht="15" customHeight="1" thickBot="1" x14ac:dyDescent="0.25">
      <c r="B18" s="92" t="s">
        <v>17</v>
      </c>
      <c r="C18" s="93"/>
      <c r="D18" s="93"/>
      <c r="E18" s="93"/>
      <c r="F18" s="93"/>
      <c r="G18" s="93"/>
      <c r="H18" s="94"/>
      <c r="I18" s="103"/>
      <c r="J18" s="103"/>
      <c r="K18" s="103"/>
    </row>
    <row r="19" spans="2:12" s="36" customFormat="1" ht="15.75" customHeight="1" thickBot="1" x14ac:dyDescent="0.25">
      <c r="B19" s="39" t="s">
        <v>0</v>
      </c>
      <c r="C19" s="97" t="s">
        <v>3</v>
      </c>
      <c r="D19" s="98"/>
      <c r="E19" s="98"/>
      <c r="F19" s="99"/>
      <c r="G19" s="40" t="s">
        <v>18</v>
      </c>
      <c r="H19" s="41" t="s">
        <v>1</v>
      </c>
      <c r="I19" s="64" t="s">
        <v>123</v>
      </c>
      <c r="J19" s="65" t="s">
        <v>122</v>
      </c>
      <c r="K19" s="65" t="s">
        <v>124</v>
      </c>
    </row>
    <row r="20" spans="2:12" s="36" customFormat="1" ht="15" x14ac:dyDescent="0.2">
      <c r="B20" s="44">
        <v>1</v>
      </c>
      <c r="C20" s="100" t="s">
        <v>22</v>
      </c>
      <c r="D20" s="101"/>
      <c r="E20" s="101"/>
      <c r="F20" s="102"/>
      <c r="G20" s="45" t="s">
        <v>5</v>
      </c>
      <c r="H20" s="12">
        <v>4.0099999999999997E-2</v>
      </c>
      <c r="I20" s="35">
        <f>HLOOKUP($B$15&amp;" 1",DADOS!$B$7:$P$18,3,FALSE)</f>
        <v>3.7999999999999999E-2</v>
      </c>
      <c r="J20" s="35">
        <f>HLOOKUP($B$15&amp;" 2",DADOS!$B$7:$P$18,3,FALSE)</f>
        <v>4.0099999999999997E-2</v>
      </c>
      <c r="K20" s="35">
        <f>HLOOKUP($B$15&amp;" 3",DADOS!$B$7:$P$18,3,FALSE)</f>
        <v>4.6699999999999998E-2</v>
      </c>
    </row>
    <row r="21" spans="2:12" s="36" customFormat="1" ht="15" x14ac:dyDescent="0.2">
      <c r="B21" s="46">
        <v>2</v>
      </c>
      <c r="C21" s="84" t="s">
        <v>23</v>
      </c>
      <c r="D21" s="85"/>
      <c r="E21" s="85"/>
      <c r="F21" s="86"/>
      <c r="G21" s="47" t="s">
        <v>6</v>
      </c>
      <c r="H21" s="12">
        <v>1.11E-2</v>
      </c>
      <c r="I21" s="35">
        <f>HLOOKUP($B$15&amp;" 1",DADOS!$B$7:$P$18,4,FALSE)</f>
        <v>1.0200000000000001E-2</v>
      </c>
      <c r="J21" s="35">
        <f>HLOOKUP($B$15&amp;" 2",DADOS!$B$7:$P$18,4,FALSE)</f>
        <v>1.11E-2</v>
      </c>
      <c r="K21" s="35">
        <f>HLOOKUP($B$15&amp;" 3",DADOS!$B$7:$P$18,4,FALSE)</f>
        <v>1.21E-2</v>
      </c>
    </row>
    <row r="22" spans="2:12" s="36" customFormat="1" ht="15" x14ac:dyDescent="0.2">
      <c r="B22" s="46">
        <v>3</v>
      </c>
      <c r="C22" s="84" t="s">
        <v>24</v>
      </c>
      <c r="D22" s="85"/>
      <c r="E22" s="85"/>
      <c r="F22" s="86"/>
      <c r="G22" s="47" t="s">
        <v>7</v>
      </c>
      <c r="H22" s="12">
        <f>0.4%+0.56%</f>
        <v>9.6000000000000009E-3</v>
      </c>
      <c r="I22" s="35">
        <f>HLOOKUP($B$15&amp;" 1",DADOS!$B$7:$P$18,5,FALSE)</f>
        <v>8.2000000000000007E-3</v>
      </c>
      <c r="J22" s="35">
        <f>HLOOKUP($B$15&amp;" 2",DADOS!$B$7:$P$18,5,FALSE)</f>
        <v>9.6000000000000009E-3</v>
      </c>
      <c r="K22" s="35">
        <f>HLOOKUP($B$15&amp;" 3",DADOS!$B$7:$P$18,5,FALSE)</f>
        <v>1.7100000000000001E-2</v>
      </c>
    </row>
    <row r="23" spans="2:12" s="36" customFormat="1" ht="15" x14ac:dyDescent="0.2">
      <c r="B23" s="46">
        <v>4</v>
      </c>
      <c r="C23" s="84" t="s">
        <v>25</v>
      </c>
      <c r="D23" s="85"/>
      <c r="E23" s="85"/>
      <c r="F23" s="86"/>
      <c r="G23" s="47" t="s">
        <v>8</v>
      </c>
      <c r="H23" s="12">
        <v>7.2999999999999995E-2</v>
      </c>
      <c r="I23" s="35">
        <f>HLOOKUP($B$15&amp;" 1",DADOS!$B$7:$P$18,6,FALSE)</f>
        <v>6.6400000000000001E-2</v>
      </c>
      <c r="J23" s="35">
        <f>HLOOKUP($B$15&amp;" 2",DADOS!$B$7:$P$18,6,FALSE)</f>
        <v>7.2999999999999995E-2</v>
      </c>
      <c r="K23" s="35">
        <f>HLOOKUP($B$15&amp;" 3",DADOS!$B$7:$P$18,6,FALSE)</f>
        <v>8.6900000000000005E-2</v>
      </c>
    </row>
    <row r="24" spans="2:12" s="36" customFormat="1" ht="15" x14ac:dyDescent="0.2">
      <c r="B24" s="46">
        <v>5</v>
      </c>
      <c r="C24" s="84" t="s">
        <v>4</v>
      </c>
      <c r="D24" s="85"/>
      <c r="E24" s="85"/>
      <c r="F24" s="86"/>
      <c r="G24" s="47" t="s">
        <v>109</v>
      </c>
      <c r="H24" s="11">
        <f>SUM(H25:H28)</f>
        <v>6.1499999999999999E-2</v>
      </c>
      <c r="I24" s="35"/>
      <c r="J24" s="35"/>
      <c r="K24" s="35"/>
    </row>
    <row r="25" spans="2:12" s="36" customFormat="1" ht="15" customHeight="1" x14ac:dyDescent="0.2">
      <c r="B25" s="82" t="s">
        <v>26</v>
      </c>
      <c r="C25" s="83"/>
      <c r="D25" s="84" t="s">
        <v>20</v>
      </c>
      <c r="E25" s="85"/>
      <c r="F25" s="86"/>
      <c r="G25" s="48"/>
      <c r="H25" s="69">
        <v>6.4999999999999997E-3</v>
      </c>
      <c r="I25" s="35"/>
      <c r="J25" s="35"/>
      <c r="K25" s="35"/>
    </row>
    <row r="26" spans="2:12" s="36" customFormat="1" ht="15" customHeight="1" x14ac:dyDescent="0.2">
      <c r="B26" s="82" t="s">
        <v>27</v>
      </c>
      <c r="C26" s="83"/>
      <c r="D26" s="84" t="s">
        <v>21</v>
      </c>
      <c r="E26" s="85"/>
      <c r="F26" s="86"/>
      <c r="G26" s="48"/>
      <c r="H26" s="69">
        <v>0.03</v>
      </c>
      <c r="I26" s="35"/>
      <c r="J26" s="35"/>
      <c r="K26" s="35"/>
    </row>
    <row r="27" spans="2:12" s="36" customFormat="1" ht="15" customHeight="1" x14ac:dyDescent="0.2">
      <c r="B27" s="82" t="s">
        <v>28</v>
      </c>
      <c r="C27" s="83"/>
      <c r="D27" s="84" t="s">
        <v>19</v>
      </c>
      <c r="E27" s="85"/>
      <c r="F27" s="86"/>
      <c r="G27" s="48"/>
      <c r="H27" s="69">
        <v>2.5000000000000001E-2</v>
      </c>
      <c r="I27" s="35"/>
      <c r="J27" s="35"/>
      <c r="K27" s="35"/>
    </row>
    <row r="28" spans="2:12" s="36" customFormat="1" ht="15.75" customHeight="1" thickBot="1" x14ac:dyDescent="0.25">
      <c r="B28" s="87" t="s">
        <v>33</v>
      </c>
      <c r="C28" s="88"/>
      <c r="D28" s="89" t="s">
        <v>32</v>
      </c>
      <c r="E28" s="90"/>
      <c r="F28" s="91"/>
      <c r="G28" s="49"/>
      <c r="H28" s="70">
        <v>0</v>
      </c>
      <c r="I28" s="27"/>
      <c r="J28" s="35"/>
      <c r="K28" s="35"/>
    </row>
    <row r="29" spans="2:12" s="36" customFormat="1" ht="15.75" customHeight="1" thickBot="1" x14ac:dyDescent="0.25">
      <c r="B29" s="76" t="s">
        <v>110</v>
      </c>
      <c r="C29" s="77"/>
      <c r="D29" s="77"/>
      <c r="E29" s="77"/>
      <c r="F29" s="77"/>
      <c r="G29" s="78"/>
      <c r="H29" s="71">
        <f>ROUND((((1+H20+H22)*(1+H21)*(1+H23))/(1-H24))-1,4)</f>
        <v>0.2135</v>
      </c>
      <c r="I29" s="35">
        <f>HLOOKUP($B$15&amp;" 1",DADOS!$B$7:$P$18,12,FALSE)</f>
        <v>0.19600000000000001</v>
      </c>
      <c r="J29" s="35">
        <f>HLOOKUP($B$15&amp;" 2",DADOS!$B$7:$P$18,12,FALSE)</f>
        <v>0.2097</v>
      </c>
      <c r="K29" s="35">
        <f>HLOOKUP($B$15&amp;" 3",DADOS!$B$7:$P$18,12,FALSE)</f>
        <v>0.24229999999999999</v>
      </c>
      <c r="L29" s="50"/>
    </row>
    <row r="30" spans="2:12" x14ac:dyDescent="0.2">
      <c r="B30" s="26" t="s">
        <v>112</v>
      </c>
    </row>
    <row r="33" spans="2:11" ht="18" customHeight="1" thickBot="1" x14ac:dyDescent="0.25">
      <c r="B33" s="79" t="s">
        <v>111</v>
      </c>
      <c r="C33" s="80"/>
      <c r="D33" s="80"/>
      <c r="E33" s="80"/>
      <c r="F33" s="80"/>
      <c r="G33" s="80"/>
      <c r="H33" s="81"/>
      <c r="I33" s="28"/>
    </row>
    <row r="34" spans="2:11" ht="15" customHeight="1" thickBot="1" x14ac:dyDescent="0.25">
      <c r="B34" s="92" t="s">
        <v>17</v>
      </c>
      <c r="C34" s="93"/>
      <c r="D34" s="93"/>
      <c r="E34" s="93"/>
      <c r="F34" s="93"/>
      <c r="G34" s="93"/>
      <c r="H34" s="94"/>
      <c r="I34" s="96"/>
      <c r="J34" s="96"/>
      <c r="K34" s="96"/>
    </row>
    <row r="35" spans="2:11" s="36" customFormat="1" ht="15.75" customHeight="1" thickBot="1" x14ac:dyDescent="0.25">
      <c r="B35" s="39" t="s">
        <v>0</v>
      </c>
      <c r="C35" s="97" t="s">
        <v>3</v>
      </c>
      <c r="D35" s="98"/>
      <c r="E35" s="98"/>
      <c r="F35" s="99"/>
      <c r="G35" s="40" t="s">
        <v>18</v>
      </c>
      <c r="H35" s="41" t="s">
        <v>1</v>
      </c>
      <c r="I35" s="42"/>
      <c r="J35" s="43"/>
      <c r="K35" s="43"/>
    </row>
    <row r="36" spans="2:11" s="36" customFormat="1" ht="15" x14ac:dyDescent="0.2">
      <c r="B36" s="44">
        <v>1</v>
      </c>
      <c r="C36" s="100" t="s">
        <v>22</v>
      </c>
      <c r="D36" s="101"/>
      <c r="E36" s="101"/>
      <c r="F36" s="102"/>
      <c r="G36" s="45" t="s">
        <v>5</v>
      </c>
      <c r="H36" s="12">
        <f>H20</f>
        <v>4.0099999999999997E-2</v>
      </c>
      <c r="I36" s="35"/>
      <c r="J36" s="35"/>
      <c r="K36" s="35"/>
    </row>
    <row r="37" spans="2:11" s="36" customFormat="1" ht="15" x14ac:dyDescent="0.2">
      <c r="B37" s="46">
        <v>2</v>
      </c>
      <c r="C37" s="84" t="s">
        <v>23</v>
      </c>
      <c r="D37" s="85"/>
      <c r="E37" s="85"/>
      <c r="F37" s="86"/>
      <c r="G37" s="47" t="s">
        <v>6</v>
      </c>
      <c r="H37" s="11">
        <f>H21</f>
        <v>1.11E-2</v>
      </c>
      <c r="I37" s="35"/>
      <c r="J37" s="35"/>
      <c r="K37" s="35"/>
    </row>
    <row r="38" spans="2:11" s="36" customFormat="1" ht="15" x14ac:dyDescent="0.2">
      <c r="B38" s="46">
        <v>3</v>
      </c>
      <c r="C38" s="84" t="s">
        <v>24</v>
      </c>
      <c r="D38" s="85"/>
      <c r="E38" s="85"/>
      <c r="F38" s="86"/>
      <c r="G38" s="47" t="s">
        <v>7</v>
      </c>
      <c r="H38" s="11">
        <f>H22</f>
        <v>9.6000000000000009E-3</v>
      </c>
      <c r="I38" s="35"/>
      <c r="J38" s="35"/>
      <c r="K38" s="35"/>
    </row>
    <row r="39" spans="2:11" s="36" customFormat="1" ht="15" x14ac:dyDescent="0.2">
      <c r="B39" s="46">
        <v>4</v>
      </c>
      <c r="C39" s="84" t="s">
        <v>25</v>
      </c>
      <c r="D39" s="85"/>
      <c r="E39" s="85"/>
      <c r="F39" s="86"/>
      <c r="G39" s="47" t="s">
        <v>8</v>
      </c>
      <c r="H39" s="11">
        <f>H23</f>
        <v>7.2999999999999995E-2</v>
      </c>
      <c r="I39" s="35"/>
      <c r="J39" s="35"/>
      <c r="K39" s="35"/>
    </row>
    <row r="40" spans="2:11" s="36" customFormat="1" ht="15" x14ac:dyDescent="0.2">
      <c r="B40" s="46">
        <v>5</v>
      </c>
      <c r="C40" s="84" t="s">
        <v>4</v>
      </c>
      <c r="D40" s="85"/>
      <c r="E40" s="85"/>
      <c r="F40" s="86"/>
      <c r="G40" s="47" t="s">
        <v>109</v>
      </c>
      <c r="H40" s="11">
        <f>SUM(H41:H44)</f>
        <v>0.1065</v>
      </c>
      <c r="I40" s="35"/>
      <c r="J40" s="35"/>
      <c r="K40" s="35"/>
    </row>
    <row r="41" spans="2:11" s="36" customFormat="1" ht="15" customHeight="1" x14ac:dyDescent="0.2">
      <c r="B41" s="82" t="s">
        <v>26</v>
      </c>
      <c r="C41" s="83"/>
      <c r="D41" s="84" t="s">
        <v>20</v>
      </c>
      <c r="E41" s="85"/>
      <c r="F41" s="86"/>
      <c r="G41" s="48"/>
      <c r="H41" s="69">
        <f>H25</f>
        <v>6.4999999999999997E-3</v>
      </c>
      <c r="I41" s="35"/>
      <c r="J41" s="35"/>
      <c r="K41" s="35"/>
    </row>
    <row r="42" spans="2:11" s="36" customFormat="1" ht="15" customHeight="1" x14ac:dyDescent="0.2">
      <c r="B42" s="82" t="s">
        <v>27</v>
      </c>
      <c r="C42" s="83"/>
      <c r="D42" s="84" t="s">
        <v>21</v>
      </c>
      <c r="E42" s="85"/>
      <c r="F42" s="86"/>
      <c r="G42" s="48"/>
      <c r="H42" s="69">
        <f>H26</f>
        <v>0.03</v>
      </c>
      <c r="I42" s="35"/>
      <c r="J42" s="35"/>
      <c r="K42" s="35"/>
    </row>
    <row r="43" spans="2:11" s="36" customFormat="1" ht="15" customHeight="1" x14ac:dyDescent="0.2">
      <c r="B43" s="82" t="s">
        <v>28</v>
      </c>
      <c r="C43" s="83"/>
      <c r="D43" s="84" t="s">
        <v>19</v>
      </c>
      <c r="E43" s="85"/>
      <c r="F43" s="86"/>
      <c r="G43" s="48"/>
      <c r="H43" s="69">
        <f>H27</f>
        <v>2.5000000000000001E-2</v>
      </c>
      <c r="I43" s="35"/>
      <c r="J43" s="35"/>
      <c r="K43" s="35"/>
    </row>
    <row r="44" spans="2:11" s="36" customFormat="1" ht="15.75" customHeight="1" thickBot="1" x14ac:dyDescent="0.25">
      <c r="B44" s="87" t="s">
        <v>33</v>
      </c>
      <c r="C44" s="88"/>
      <c r="D44" s="89" t="s">
        <v>32</v>
      </c>
      <c r="E44" s="90"/>
      <c r="F44" s="91"/>
      <c r="G44" s="49"/>
      <c r="H44" s="70">
        <v>4.4999999999999998E-2</v>
      </c>
      <c r="I44" s="35"/>
      <c r="J44" s="35"/>
      <c r="K44" s="35"/>
    </row>
    <row r="45" spans="2:11" s="36" customFormat="1" ht="15.75" customHeight="1" thickBot="1" x14ac:dyDescent="0.25">
      <c r="B45" s="76" t="s">
        <v>110</v>
      </c>
      <c r="C45" s="77"/>
      <c r="D45" s="77"/>
      <c r="E45" s="77"/>
      <c r="F45" s="77"/>
      <c r="G45" s="78"/>
      <c r="H45" s="72">
        <f>ROUND((((1+H36+H38)*(1+H37)*(1+H39))/(1-H40))-1,4)</f>
        <v>0.27460000000000001</v>
      </c>
      <c r="I45" s="35"/>
      <c r="J45" s="35"/>
      <c r="K45" s="35"/>
    </row>
    <row r="46" spans="2:11" x14ac:dyDescent="0.2">
      <c r="B46" s="26" t="str">
        <f>B30</f>
        <v>* VALORES DE PIS E COFINS SEGUNDO ALIQ MÁXIMA DO REGIME CUMULATIVO</v>
      </c>
    </row>
    <row r="47" spans="2:11" x14ac:dyDescent="0.2">
      <c r="B47" s="26" t="s">
        <v>113</v>
      </c>
    </row>
    <row r="50" spans="2:11" ht="18" customHeight="1" thickBot="1" x14ac:dyDescent="0.25">
      <c r="B50" s="79" t="s">
        <v>108</v>
      </c>
      <c r="C50" s="80"/>
      <c r="D50" s="80"/>
      <c r="E50" s="80"/>
      <c r="F50" s="80"/>
      <c r="G50" s="80"/>
      <c r="H50" s="81"/>
    </row>
    <row r="51" spans="2:11" ht="15" customHeight="1" thickBot="1" x14ac:dyDescent="0.25">
      <c r="B51" s="92" t="s">
        <v>142</v>
      </c>
      <c r="C51" s="93"/>
      <c r="D51" s="93"/>
      <c r="E51" s="93"/>
      <c r="F51" s="93"/>
      <c r="G51" s="93"/>
      <c r="H51" s="94"/>
      <c r="I51" s="95" t="s">
        <v>140</v>
      </c>
      <c r="J51" s="96"/>
      <c r="K51" s="96"/>
    </row>
    <row r="52" spans="2:11" s="36" customFormat="1" ht="15.75" customHeight="1" thickBot="1" x14ac:dyDescent="0.25">
      <c r="B52" s="39" t="s">
        <v>0</v>
      </c>
      <c r="C52" s="97" t="s">
        <v>3</v>
      </c>
      <c r="D52" s="98"/>
      <c r="E52" s="98"/>
      <c r="F52" s="99"/>
      <c r="G52" s="40" t="s">
        <v>18</v>
      </c>
      <c r="H52" s="41" t="s">
        <v>1</v>
      </c>
      <c r="I52" s="64" t="s">
        <v>123</v>
      </c>
      <c r="J52" s="65" t="s">
        <v>122</v>
      </c>
      <c r="K52" s="65" t="s">
        <v>124</v>
      </c>
    </row>
    <row r="53" spans="2:11" s="36" customFormat="1" ht="15" x14ac:dyDescent="0.2">
      <c r="B53" s="44">
        <v>1</v>
      </c>
      <c r="C53" s="100" t="s">
        <v>22</v>
      </c>
      <c r="D53" s="101"/>
      <c r="E53" s="101"/>
      <c r="F53" s="102"/>
      <c r="G53" s="45" t="s">
        <v>5</v>
      </c>
      <c r="H53" s="12">
        <v>3.4500000000000003E-2</v>
      </c>
      <c r="I53" s="35">
        <v>1.4999999999999999E-2</v>
      </c>
      <c r="J53" s="35">
        <v>3.4500000000000003E-2</v>
      </c>
      <c r="K53" s="35">
        <v>4.4900000000000002E-2</v>
      </c>
    </row>
    <row r="54" spans="2:11" s="36" customFormat="1" ht="15" x14ac:dyDescent="0.2">
      <c r="B54" s="46">
        <v>2</v>
      </c>
      <c r="C54" s="84" t="s">
        <v>23</v>
      </c>
      <c r="D54" s="85"/>
      <c r="E54" s="85"/>
      <c r="F54" s="86"/>
      <c r="G54" s="47" t="s">
        <v>6</v>
      </c>
      <c r="H54" s="12">
        <v>8.5000000000000006E-3</v>
      </c>
      <c r="I54" s="35">
        <v>8.5000000000000006E-3</v>
      </c>
      <c r="J54" s="35">
        <v>8.5000000000000006E-3</v>
      </c>
      <c r="K54" s="35">
        <v>1.11E-2</v>
      </c>
    </row>
    <row r="55" spans="2:11" s="36" customFormat="1" ht="15" x14ac:dyDescent="0.2">
      <c r="B55" s="46">
        <v>3</v>
      </c>
      <c r="C55" s="84" t="s">
        <v>24</v>
      </c>
      <c r="D55" s="85"/>
      <c r="E55" s="85"/>
      <c r="F55" s="86"/>
      <c r="G55" s="47" t="s">
        <v>7</v>
      </c>
      <c r="H55" s="12">
        <f>0.48%+0.85%</f>
        <v>1.3299999999999999E-2</v>
      </c>
      <c r="I55" s="35">
        <f>0.3%+0.56%</f>
        <v>8.6E-3</v>
      </c>
      <c r="J55" s="35">
        <f>0.48%+0.85%</f>
        <v>1.3299999999999999E-2</v>
      </c>
      <c r="K55" s="35">
        <f>0.82%+0.89%</f>
        <v>1.7099999999999997E-2</v>
      </c>
    </row>
    <row r="56" spans="2:11" s="36" customFormat="1" ht="15" x14ac:dyDescent="0.2">
      <c r="B56" s="46">
        <v>4</v>
      </c>
      <c r="C56" s="84" t="s">
        <v>25</v>
      </c>
      <c r="D56" s="85"/>
      <c r="E56" s="85"/>
      <c r="F56" s="86"/>
      <c r="G56" s="47" t="s">
        <v>8</v>
      </c>
      <c r="H56" s="12">
        <v>5.11E-2</v>
      </c>
      <c r="I56" s="35">
        <v>3.5000000000000003E-2</v>
      </c>
      <c r="J56" s="35">
        <v>5.11E-2</v>
      </c>
      <c r="K56" s="35">
        <v>6.2199999999999998E-2</v>
      </c>
    </row>
    <row r="57" spans="2:11" s="36" customFormat="1" ht="15" x14ac:dyDescent="0.2">
      <c r="B57" s="46">
        <v>5</v>
      </c>
      <c r="C57" s="84" t="s">
        <v>4</v>
      </c>
      <c r="D57" s="85"/>
      <c r="E57" s="85"/>
      <c r="F57" s="86"/>
      <c r="G57" s="47" t="s">
        <v>109</v>
      </c>
      <c r="H57" s="11">
        <f>SUM(H58:H61)</f>
        <v>3.6499999999999998E-2</v>
      </c>
      <c r="I57" s="35"/>
      <c r="J57" s="35"/>
      <c r="K57" s="35"/>
    </row>
    <row r="58" spans="2:11" s="36" customFormat="1" ht="15" customHeight="1" x14ac:dyDescent="0.2">
      <c r="B58" s="82" t="s">
        <v>26</v>
      </c>
      <c r="C58" s="83"/>
      <c r="D58" s="84" t="s">
        <v>20</v>
      </c>
      <c r="E58" s="85"/>
      <c r="F58" s="86"/>
      <c r="G58" s="48"/>
      <c r="H58" s="69">
        <f>$H$41</f>
        <v>6.4999999999999997E-3</v>
      </c>
      <c r="I58" s="35"/>
      <c r="J58" s="35"/>
      <c r="K58" s="35"/>
    </row>
    <row r="59" spans="2:11" s="36" customFormat="1" ht="15" customHeight="1" x14ac:dyDescent="0.2">
      <c r="B59" s="82" t="s">
        <v>27</v>
      </c>
      <c r="C59" s="83"/>
      <c r="D59" s="84" t="s">
        <v>21</v>
      </c>
      <c r="E59" s="85"/>
      <c r="F59" s="86"/>
      <c r="G59" s="48"/>
      <c r="H59" s="69">
        <f>H42</f>
        <v>0.03</v>
      </c>
      <c r="I59" s="35"/>
      <c r="J59" s="35"/>
      <c r="K59" s="35"/>
    </row>
    <row r="60" spans="2:11" s="36" customFormat="1" ht="15" customHeight="1" x14ac:dyDescent="0.2">
      <c r="B60" s="82" t="s">
        <v>28</v>
      </c>
      <c r="C60" s="83"/>
      <c r="D60" s="84" t="s">
        <v>19</v>
      </c>
      <c r="E60" s="85"/>
      <c r="F60" s="86"/>
      <c r="G60" s="48"/>
      <c r="H60" s="69">
        <v>0</v>
      </c>
      <c r="I60" s="35"/>
      <c r="J60" s="35"/>
      <c r="K60" s="35"/>
    </row>
    <row r="61" spans="2:11" s="36" customFormat="1" ht="15.75" customHeight="1" thickBot="1" x14ac:dyDescent="0.25">
      <c r="B61" s="87" t="s">
        <v>33</v>
      </c>
      <c r="C61" s="88"/>
      <c r="D61" s="89" t="s">
        <v>32</v>
      </c>
      <c r="E61" s="90"/>
      <c r="F61" s="91"/>
      <c r="G61" s="49"/>
      <c r="H61" s="70">
        <v>0</v>
      </c>
      <c r="I61" s="35"/>
      <c r="J61" s="35"/>
      <c r="K61" s="35"/>
    </row>
    <row r="62" spans="2:11" s="36" customFormat="1" ht="15.75" customHeight="1" thickBot="1" x14ac:dyDescent="0.25">
      <c r="B62" s="76" t="s">
        <v>110</v>
      </c>
      <c r="C62" s="77"/>
      <c r="D62" s="77"/>
      <c r="E62" s="77"/>
      <c r="F62" s="77"/>
      <c r="G62" s="78"/>
      <c r="H62" s="71">
        <f>ROUND((((1+H53+H55)*(1+H54)*(1+H56))/(1-H57))-1,4)</f>
        <v>0.15279999999999999</v>
      </c>
      <c r="I62" s="35">
        <v>0.111</v>
      </c>
      <c r="J62" s="35">
        <v>0.14019999999999999</v>
      </c>
      <c r="K62" s="35">
        <v>0.16800000000000001</v>
      </c>
    </row>
    <row r="63" spans="2:11" x14ac:dyDescent="0.2">
      <c r="B63" s="26" t="str">
        <f>B46</f>
        <v>* VALORES DE PIS E COFINS SEGUNDO ALIQ MÁXIMA DO REGIME CUMULATIVO</v>
      </c>
    </row>
    <row r="64" spans="2:11" x14ac:dyDescent="0.2">
      <c r="B64" s="26" t="s">
        <v>141</v>
      </c>
    </row>
    <row r="66" spans="2:11" ht="18" customHeight="1" thickBot="1" x14ac:dyDescent="0.25">
      <c r="B66" s="79" t="s">
        <v>111</v>
      </c>
      <c r="C66" s="80"/>
      <c r="D66" s="80"/>
      <c r="E66" s="80"/>
      <c r="F66" s="80"/>
      <c r="G66" s="80"/>
      <c r="H66" s="81"/>
      <c r="I66" s="28"/>
    </row>
    <row r="67" spans="2:11" ht="15" customHeight="1" thickBot="1" x14ac:dyDescent="0.25">
      <c r="B67" s="92" t="s">
        <v>142</v>
      </c>
      <c r="C67" s="93"/>
      <c r="D67" s="93"/>
      <c r="E67" s="93"/>
      <c r="F67" s="93"/>
      <c r="G67" s="93"/>
      <c r="H67" s="94"/>
      <c r="I67" s="95" t="s">
        <v>140</v>
      </c>
      <c r="J67" s="96"/>
      <c r="K67" s="96"/>
    </row>
    <row r="68" spans="2:11" s="36" customFormat="1" ht="15.75" customHeight="1" thickBot="1" x14ac:dyDescent="0.25">
      <c r="B68" s="39" t="s">
        <v>0</v>
      </c>
      <c r="C68" s="97" t="s">
        <v>3</v>
      </c>
      <c r="D68" s="98"/>
      <c r="E68" s="98"/>
      <c r="F68" s="99"/>
      <c r="G68" s="40" t="s">
        <v>18</v>
      </c>
      <c r="H68" s="41" t="s">
        <v>1</v>
      </c>
      <c r="I68" s="64" t="s">
        <v>123</v>
      </c>
      <c r="J68" s="65" t="s">
        <v>122</v>
      </c>
      <c r="K68" s="65" t="s">
        <v>124</v>
      </c>
    </row>
    <row r="69" spans="2:11" s="36" customFormat="1" ht="15" x14ac:dyDescent="0.2">
      <c r="B69" s="44">
        <v>1</v>
      </c>
      <c r="C69" s="100" t="s">
        <v>22</v>
      </c>
      <c r="D69" s="101"/>
      <c r="E69" s="101"/>
      <c r="F69" s="102"/>
      <c r="G69" s="45" t="s">
        <v>5</v>
      </c>
      <c r="H69" s="12">
        <v>3.4500000000000003E-2</v>
      </c>
      <c r="I69" s="35">
        <v>1.4999999999999999E-2</v>
      </c>
      <c r="J69" s="35">
        <v>3.4500000000000003E-2</v>
      </c>
      <c r="K69" s="35">
        <v>4.4900000000000002E-2</v>
      </c>
    </row>
    <row r="70" spans="2:11" s="36" customFormat="1" ht="15" x14ac:dyDescent="0.2">
      <c r="B70" s="46">
        <v>2</v>
      </c>
      <c r="C70" s="84" t="s">
        <v>23</v>
      </c>
      <c r="D70" s="85"/>
      <c r="E70" s="85"/>
      <c r="F70" s="86"/>
      <c r="G70" s="47" t="s">
        <v>6</v>
      </c>
      <c r="H70" s="12">
        <v>8.5000000000000006E-3</v>
      </c>
      <c r="I70" s="35">
        <v>8.5000000000000006E-3</v>
      </c>
      <c r="J70" s="35">
        <v>8.5000000000000006E-3</v>
      </c>
      <c r="K70" s="35">
        <v>1.11E-2</v>
      </c>
    </row>
    <row r="71" spans="2:11" s="36" customFormat="1" ht="15" x14ac:dyDescent="0.2">
      <c r="B71" s="46">
        <v>3</v>
      </c>
      <c r="C71" s="84" t="s">
        <v>24</v>
      </c>
      <c r="D71" s="85"/>
      <c r="E71" s="85"/>
      <c r="F71" s="86"/>
      <c r="G71" s="47" t="s">
        <v>7</v>
      </c>
      <c r="H71" s="12">
        <f>0.48%+0.85%</f>
        <v>1.3299999999999999E-2</v>
      </c>
      <c r="I71" s="35">
        <f>0.3%+0.56%</f>
        <v>8.6E-3</v>
      </c>
      <c r="J71" s="35">
        <f>0.48%+0.85%</f>
        <v>1.3299999999999999E-2</v>
      </c>
      <c r="K71" s="35">
        <f>0.82%+0.89%</f>
        <v>1.7099999999999997E-2</v>
      </c>
    </row>
    <row r="72" spans="2:11" s="36" customFormat="1" ht="15" x14ac:dyDescent="0.2">
      <c r="B72" s="46">
        <v>4</v>
      </c>
      <c r="C72" s="84" t="s">
        <v>25</v>
      </c>
      <c r="D72" s="85"/>
      <c r="E72" s="85"/>
      <c r="F72" s="86"/>
      <c r="G72" s="47" t="s">
        <v>8</v>
      </c>
      <c r="H72" s="12">
        <v>5.11E-2</v>
      </c>
      <c r="I72" s="35">
        <v>3.5000000000000003E-2</v>
      </c>
      <c r="J72" s="35">
        <v>5.11E-2</v>
      </c>
      <c r="K72" s="35">
        <v>6.2199999999999998E-2</v>
      </c>
    </row>
    <row r="73" spans="2:11" s="36" customFormat="1" ht="15" x14ac:dyDescent="0.2">
      <c r="B73" s="46">
        <v>5</v>
      </c>
      <c r="C73" s="84" t="s">
        <v>4</v>
      </c>
      <c r="D73" s="85"/>
      <c r="E73" s="85"/>
      <c r="F73" s="86"/>
      <c r="G73" s="47" t="s">
        <v>109</v>
      </c>
      <c r="H73" s="11">
        <f>SUM(H74:H77)</f>
        <v>8.1499999999999989E-2</v>
      </c>
      <c r="I73" s="35"/>
      <c r="J73" s="35"/>
      <c r="K73" s="35"/>
    </row>
    <row r="74" spans="2:11" s="36" customFormat="1" ht="15" customHeight="1" x14ac:dyDescent="0.2">
      <c r="B74" s="82" t="s">
        <v>26</v>
      </c>
      <c r="C74" s="83"/>
      <c r="D74" s="84" t="s">
        <v>20</v>
      </c>
      <c r="E74" s="85"/>
      <c r="F74" s="86"/>
      <c r="G74" s="48"/>
      <c r="H74" s="69">
        <f>$H$41</f>
        <v>6.4999999999999997E-3</v>
      </c>
      <c r="I74" s="35"/>
      <c r="J74" s="35"/>
      <c r="K74" s="35"/>
    </row>
    <row r="75" spans="2:11" s="36" customFormat="1" ht="15" customHeight="1" x14ac:dyDescent="0.2">
      <c r="B75" s="82" t="s">
        <v>27</v>
      </c>
      <c r="C75" s="83"/>
      <c r="D75" s="84" t="s">
        <v>21</v>
      </c>
      <c r="E75" s="85"/>
      <c r="F75" s="86"/>
      <c r="G75" s="48"/>
      <c r="H75" s="69">
        <f>$H$42</f>
        <v>0.03</v>
      </c>
      <c r="I75" s="35"/>
      <c r="J75" s="35"/>
      <c r="K75" s="35"/>
    </row>
    <row r="76" spans="2:11" s="36" customFormat="1" ht="15" customHeight="1" x14ac:dyDescent="0.2">
      <c r="B76" s="82" t="s">
        <v>28</v>
      </c>
      <c r="C76" s="83"/>
      <c r="D76" s="84" t="s">
        <v>19</v>
      </c>
      <c r="E76" s="85"/>
      <c r="F76" s="86"/>
      <c r="G76" s="48"/>
      <c r="H76" s="69">
        <v>0</v>
      </c>
      <c r="I76" s="35"/>
      <c r="J76" s="35"/>
      <c r="K76" s="35"/>
    </row>
    <row r="77" spans="2:11" s="36" customFormat="1" ht="15.75" customHeight="1" thickBot="1" x14ac:dyDescent="0.25">
      <c r="B77" s="87" t="s">
        <v>33</v>
      </c>
      <c r="C77" s="88"/>
      <c r="D77" s="89" t="s">
        <v>32</v>
      </c>
      <c r="E77" s="90"/>
      <c r="F77" s="91"/>
      <c r="G77" s="49"/>
      <c r="H77" s="70">
        <v>4.4999999999999998E-2</v>
      </c>
      <c r="I77" s="35"/>
      <c r="J77" s="35"/>
      <c r="K77" s="35"/>
    </row>
    <row r="78" spans="2:11" s="36" customFormat="1" ht="15.75" customHeight="1" thickBot="1" x14ac:dyDescent="0.25">
      <c r="B78" s="76" t="s">
        <v>110</v>
      </c>
      <c r="C78" s="77"/>
      <c r="D78" s="77"/>
      <c r="E78" s="77"/>
      <c r="F78" s="77"/>
      <c r="G78" s="78"/>
      <c r="H78" s="71">
        <f>ROUND((((1+H69+H71)*(1+H70)*(1+H72))/(1-H73))-1,4)</f>
        <v>0.20930000000000001</v>
      </c>
      <c r="I78" s="35">
        <v>0.111</v>
      </c>
      <c r="J78" s="35">
        <v>0.14019999999999999</v>
      </c>
      <c r="K78" s="35">
        <v>0.16800000000000001</v>
      </c>
    </row>
    <row r="79" spans="2:11" x14ac:dyDescent="0.2">
      <c r="B79" s="26" t="str">
        <f>B62</f>
        <v>BDI (%) = ((((1+AC+R)*(1+DF)*(1+L))/(1-I))-1)</v>
      </c>
    </row>
    <row r="80" spans="2:11" x14ac:dyDescent="0.2">
      <c r="B80" s="26" t="s">
        <v>141</v>
      </c>
    </row>
    <row r="81" spans="2:11" x14ac:dyDescent="0.2">
      <c r="E81" s="51"/>
      <c r="G81" s="52"/>
    </row>
    <row r="82" spans="2:11" s="54" customFormat="1" ht="20.100000000000001" customHeight="1" x14ac:dyDescent="0.25">
      <c r="B82" s="123" t="s">
        <v>102</v>
      </c>
      <c r="C82" s="124"/>
      <c r="D82" s="124"/>
      <c r="E82" s="124"/>
      <c r="F82" s="124"/>
      <c r="G82" s="124"/>
      <c r="H82" s="125"/>
      <c r="I82" s="53"/>
      <c r="J82" s="53"/>
      <c r="K82" s="53"/>
    </row>
    <row r="83" spans="2:11" s="54" customFormat="1" ht="20.100000000000001" customHeight="1" x14ac:dyDescent="0.25">
      <c r="B83" s="130" t="s">
        <v>2</v>
      </c>
      <c r="C83" s="119" t="s">
        <v>3</v>
      </c>
      <c r="D83" s="120"/>
      <c r="E83" s="129" t="s">
        <v>100</v>
      </c>
      <c r="F83" s="129"/>
      <c r="G83" s="135" t="s">
        <v>101</v>
      </c>
      <c r="H83" s="136"/>
      <c r="I83" s="53"/>
      <c r="J83" s="53"/>
      <c r="K83" s="53"/>
    </row>
    <row r="84" spans="2:11" s="54" customFormat="1" ht="20.100000000000001" customHeight="1" x14ac:dyDescent="0.25">
      <c r="B84" s="131"/>
      <c r="C84" s="121"/>
      <c r="D84" s="122"/>
      <c r="E84" s="74" t="s">
        <v>98</v>
      </c>
      <c r="F84" s="74" t="s">
        <v>99</v>
      </c>
      <c r="G84" s="74" t="s">
        <v>98</v>
      </c>
      <c r="H84" s="74" t="s">
        <v>99</v>
      </c>
      <c r="I84" s="53"/>
      <c r="J84" s="53"/>
      <c r="K84" s="53"/>
    </row>
    <row r="85" spans="2:11" s="54" customFormat="1" ht="20.100000000000001" customHeight="1" x14ac:dyDescent="0.25">
      <c r="B85" s="123" t="s">
        <v>34</v>
      </c>
      <c r="C85" s="124"/>
      <c r="D85" s="124"/>
      <c r="E85" s="124"/>
      <c r="F85" s="124"/>
      <c r="G85" s="124"/>
      <c r="H85" s="125"/>
      <c r="I85" s="53"/>
      <c r="J85" s="53"/>
      <c r="K85" s="53"/>
    </row>
    <row r="86" spans="2:11" s="54" customFormat="1" ht="20.100000000000001" customHeight="1" x14ac:dyDescent="0.25">
      <c r="B86" s="55" t="s">
        <v>35</v>
      </c>
      <c r="C86" s="110" t="s">
        <v>36</v>
      </c>
      <c r="D86" s="111"/>
      <c r="E86" s="56">
        <v>0</v>
      </c>
      <c r="F86" s="56">
        <v>0</v>
      </c>
      <c r="G86" s="56">
        <v>20</v>
      </c>
      <c r="H86" s="56">
        <v>20</v>
      </c>
      <c r="I86" s="53"/>
      <c r="J86" s="53"/>
      <c r="K86" s="53"/>
    </row>
    <row r="87" spans="2:11" s="54" customFormat="1" ht="20.100000000000001" customHeight="1" x14ac:dyDescent="0.25">
      <c r="B87" s="57" t="s">
        <v>37</v>
      </c>
      <c r="C87" s="104" t="s">
        <v>38</v>
      </c>
      <c r="D87" s="105"/>
      <c r="E87" s="58">
        <v>1.5</v>
      </c>
      <c r="F87" s="58">
        <v>1.5</v>
      </c>
      <c r="G87" s="58">
        <v>1.5</v>
      </c>
      <c r="H87" s="58">
        <v>1.5</v>
      </c>
      <c r="I87" s="53"/>
      <c r="J87" s="53"/>
      <c r="K87" s="53"/>
    </row>
    <row r="88" spans="2:11" s="54" customFormat="1" ht="20.100000000000001" customHeight="1" x14ac:dyDescent="0.25">
      <c r="B88" s="57" t="s">
        <v>39</v>
      </c>
      <c r="C88" s="104" t="s">
        <v>40</v>
      </c>
      <c r="D88" s="105"/>
      <c r="E88" s="58">
        <v>1</v>
      </c>
      <c r="F88" s="58">
        <v>1</v>
      </c>
      <c r="G88" s="58">
        <v>1</v>
      </c>
      <c r="H88" s="58">
        <v>1</v>
      </c>
      <c r="I88" s="53"/>
      <c r="J88" s="53"/>
      <c r="K88" s="53"/>
    </row>
    <row r="89" spans="2:11" s="54" customFormat="1" ht="20.100000000000001" customHeight="1" x14ac:dyDescent="0.25">
      <c r="B89" s="57" t="s">
        <v>41</v>
      </c>
      <c r="C89" s="104" t="s">
        <v>42</v>
      </c>
      <c r="D89" s="105"/>
      <c r="E89" s="58">
        <v>0.2</v>
      </c>
      <c r="F89" s="58">
        <v>0.2</v>
      </c>
      <c r="G89" s="58">
        <v>0.2</v>
      </c>
      <c r="H89" s="58">
        <v>0.2</v>
      </c>
      <c r="I89" s="53"/>
      <c r="J89" s="53"/>
      <c r="K89" s="53"/>
    </row>
    <row r="90" spans="2:11" s="54" customFormat="1" ht="20.100000000000001" customHeight="1" x14ac:dyDescent="0.25">
      <c r="B90" s="57" t="s">
        <v>43</v>
      </c>
      <c r="C90" s="104" t="s">
        <v>44</v>
      </c>
      <c r="D90" s="105"/>
      <c r="E90" s="58">
        <v>0.6</v>
      </c>
      <c r="F90" s="58">
        <v>0.6</v>
      </c>
      <c r="G90" s="58">
        <v>0.6</v>
      </c>
      <c r="H90" s="58">
        <v>0.6</v>
      </c>
      <c r="I90" s="53"/>
      <c r="J90" s="53"/>
      <c r="K90" s="53"/>
    </row>
    <row r="91" spans="2:11" s="54" customFormat="1" ht="20.100000000000001" customHeight="1" x14ac:dyDescent="0.25">
      <c r="B91" s="57" t="s">
        <v>45</v>
      </c>
      <c r="C91" s="104" t="s">
        <v>46</v>
      </c>
      <c r="D91" s="105"/>
      <c r="E91" s="58">
        <v>2.5</v>
      </c>
      <c r="F91" s="58">
        <v>2.5</v>
      </c>
      <c r="G91" s="58">
        <v>2.5</v>
      </c>
      <c r="H91" s="58">
        <v>2.5</v>
      </c>
      <c r="I91" s="53"/>
      <c r="J91" s="53"/>
      <c r="K91" s="53"/>
    </row>
    <row r="92" spans="2:11" s="54" customFormat="1" ht="20.100000000000001" customHeight="1" x14ac:dyDescent="0.25">
      <c r="B92" s="57" t="s">
        <v>47</v>
      </c>
      <c r="C92" s="104" t="s">
        <v>48</v>
      </c>
      <c r="D92" s="105"/>
      <c r="E92" s="58">
        <v>3</v>
      </c>
      <c r="F92" s="58">
        <v>3</v>
      </c>
      <c r="G92" s="58">
        <v>3</v>
      </c>
      <c r="H92" s="58">
        <v>3</v>
      </c>
      <c r="I92" s="53"/>
      <c r="J92" s="53"/>
      <c r="K92" s="53"/>
    </row>
    <row r="93" spans="2:11" s="54" customFormat="1" ht="20.100000000000001" customHeight="1" x14ac:dyDescent="0.25">
      <c r="B93" s="57" t="s">
        <v>49</v>
      </c>
      <c r="C93" s="104" t="s">
        <v>50</v>
      </c>
      <c r="D93" s="105"/>
      <c r="E93" s="58">
        <v>8</v>
      </c>
      <c r="F93" s="58">
        <v>8</v>
      </c>
      <c r="G93" s="58">
        <v>8</v>
      </c>
      <c r="H93" s="58">
        <v>8</v>
      </c>
      <c r="I93" s="53"/>
      <c r="J93" s="53"/>
      <c r="K93" s="53"/>
    </row>
    <row r="94" spans="2:11" s="54" customFormat="1" ht="20.100000000000001" customHeight="1" x14ac:dyDescent="0.25">
      <c r="B94" s="59" t="s">
        <v>51</v>
      </c>
      <c r="C94" s="106" t="s">
        <v>52</v>
      </c>
      <c r="D94" s="107"/>
      <c r="E94" s="60">
        <v>0</v>
      </c>
      <c r="F94" s="60">
        <v>0</v>
      </c>
      <c r="G94" s="60">
        <v>0</v>
      </c>
      <c r="H94" s="60">
        <v>0</v>
      </c>
      <c r="I94" s="53"/>
      <c r="J94" s="53"/>
      <c r="K94" s="53"/>
    </row>
    <row r="95" spans="2:11" s="54" customFormat="1" ht="20.100000000000001" customHeight="1" x14ac:dyDescent="0.25">
      <c r="B95" s="73" t="s">
        <v>53</v>
      </c>
      <c r="C95" s="108" t="s">
        <v>54</v>
      </c>
      <c r="D95" s="109"/>
      <c r="E95" s="75">
        <f>SUM(E86:E94)</f>
        <v>16.8</v>
      </c>
      <c r="F95" s="75">
        <f>SUM(F86:F94)</f>
        <v>16.8</v>
      </c>
      <c r="G95" s="75">
        <f>SUM(G86:G94)</f>
        <v>36.799999999999997</v>
      </c>
      <c r="H95" s="75">
        <f>SUM(H86:H94)</f>
        <v>36.799999999999997</v>
      </c>
      <c r="I95" s="53"/>
      <c r="J95" s="53"/>
      <c r="K95" s="53"/>
    </row>
    <row r="96" spans="2:11" s="54" customFormat="1" ht="20.100000000000001" customHeight="1" x14ac:dyDescent="0.25">
      <c r="B96" s="114" t="s">
        <v>55</v>
      </c>
      <c r="C96" s="115"/>
      <c r="D96" s="115"/>
      <c r="E96" s="115"/>
      <c r="F96" s="115"/>
      <c r="G96" s="115"/>
      <c r="H96" s="116"/>
      <c r="I96" s="53"/>
      <c r="J96" s="53"/>
      <c r="K96" s="53"/>
    </row>
    <row r="97" spans="2:11" s="54" customFormat="1" ht="20.100000000000001" customHeight="1" x14ac:dyDescent="0.25">
      <c r="B97" s="55" t="s">
        <v>56</v>
      </c>
      <c r="C97" s="110" t="s">
        <v>57</v>
      </c>
      <c r="D97" s="111"/>
      <c r="E97" s="56">
        <v>18.05</v>
      </c>
      <c r="F97" s="56" t="s">
        <v>58</v>
      </c>
      <c r="G97" s="56">
        <v>18.05</v>
      </c>
      <c r="H97" s="56" t="s">
        <v>58</v>
      </c>
      <c r="I97" s="53"/>
      <c r="J97" s="53"/>
      <c r="K97" s="53"/>
    </row>
    <row r="98" spans="2:11" s="54" customFormat="1" ht="20.100000000000001" customHeight="1" x14ac:dyDescent="0.25">
      <c r="B98" s="57" t="s">
        <v>59</v>
      </c>
      <c r="C98" s="104" t="s">
        <v>60</v>
      </c>
      <c r="D98" s="105"/>
      <c r="E98" s="58">
        <v>4.68</v>
      </c>
      <c r="F98" s="58" t="s">
        <v>58</v>
      </c>
      <c r="G98" s="58">
        <v>4.68</v>
      </c>
      <c r="H98" s="58" t="s">
        <v>58</v>
      </c>
      <c r="I98" s="53"/>
      <c r="J98" s="53"/>
      <c r="K98" s="53"/>
    </row>
    <row r="99" spans="2:11" s="54" customFormat="1" ht="20.100000000000001" customHeight="1" x14ac:dyDescent="0.25">
      <c r="B99" s="57" t="s">
        <v>61</v>
      </c>
      <c r="C99" s="104" t="s">
        <v>62</v>
      </c>
      <c r="D99" s="105"/>
      <c r="E99" s="58">
        <v>0.88</v>
      </c>
      <c r="F99" s="58">
        <v>0.67</v>
      </c>
      <c r="G99" s="58">
        <v>0.88</v>
      </c>
      <c r="H99" s="58">
        <v>0.67</v>
      </c>
      <c r="I99" s="53"/>
      <c r="J99" s="53"/>
      <c r="K99" s="53"/>
    </row>
    <row r="100" spans="2:11" s="54" customFormat="1" ht="20.100000000000001" customHeight="1" x14ac:dyDescent="0.25">
      <c r="B100" s="57" t="s">
        <v>63</v>
      </c>
      <c r="C100" s="104" t="s">
        <v>64</v>
      </c>
      <c r="D100" s="105"/>
      <c r="E100" s="58">
        <v>10.87</v>
      </c>
      <c r="F100" s="58">
        <v>8.33</v>
      </c>
      <c r="G100" s="58">
        <v>10.87</v>
      </c>
      <c r="H100" s="58">
        <v>8.33</v>
      </c>
      <c r="I100" s="53"/>
      <c r="J100" s="53"/>
      <c r="K100" s="53"/>
    </row>
    <row r="101" spans="2:11" s="54" customFormat="1" ht="20.100000000000001" customHeight="1" x14ac:dyDescent="0.25">
      <c r="B101" s="57" t="s">
        <v>65</v>
      </c>
      <c r="C101" s="104" t="s">
        <v>66</v>
      </c>
      <c r="D101" s="105"/>
      <c r="E101" s="58">
        <v>7.0000000000000007E-2</v>
      </c>
      <c r="F101" s="58">
        <v>0.06</v>
      </c>
      <c r="G101" s="58">
        <v>7.0000000000000007E-2</v>
      </c>
      <c r="H101" s="58">
        <v>0.06</v>
      </c>
      <c r="I101" s="53"/>
      <c r="J101" s="53"/>
      <c r="K101" s="53"/>
    </row>
    <row r="102" spans="2:11" s="54" customFormat="1" ht="20.100000000000001" customHeight="1" x14ac:dyDescent="0.25">
      <c r="B102" s="57" t="s">
        <v>67</v>
      </c>
      <c r="C102" s="104" t="s">
        <v>68</v>
      </c>
      <c r="D102" s="105"/>
      <c r="E102" s="58">
        <v>0.72</v>
      </c>
      <c r="F102" s="58">
        <v>0.56000000000000005</v>
      </c>
      <c r="G102" s="58">
        <v>0.72</v>
      </c>
      <c r="H102" s="58">
        <v>0.56000000000000005</v>
      </c>
      <c r="I102" s="53"/>
      <c r="J102" s="53"/>
      <c r="K102" s="53"/>
    </row>
    <row r="103" spans="2:11" s="54" customFormat="1" ht="20.100000000000001" customHeight="1" x14ac:dyDescent="0.25">
      <c r="B103" s="57" t="s">
        <v>69</v>
      </c>
      <c r="C103" s="104" t="s">
        <v>70</v>
      </c>
      <c r="D103" s="105"/>
      <c r="E103" s="58">
        <v>1.84</v>
      </c>
      <c r="F103" s="58" t="s">
        <v>58</v>
      </c>
      <c r="G103" s="58">
        <v>1.84</v>
      </c>
      <c r="H103" s="58" t="s">
        <v>58</v>
      </c>
      <c r="I103" s="53"/>
      <c r="J103" s="53"/>
      <c r="K103" s="53"/>
    </row>
    <row r="104" spans="2:11" s="54" customFormat="1" ht="20.100000000000001" customHeight="1" x14ac:dyDescent="0.25">
      <c r="B104" s="57" t="s">
        <v>71</v>
      </c>
      <c r="C104" s="104" t="s">
        <v>72</v>
      </c>
      <c r="D104" s="105"/>
      <c r="E104" s="58">
        <v>0.11</v>
      </c>
      <c r="F104" s="58">
        <v>0.08</v>
      </c>
      <c r="G104" s="58">
        <v>0.11</v>
      </c>
      <c r="H104" s="58">
        <v>0.08</v>
      </c>
      <c r="I104" s="53"/>
      <c r="J104" s="53"/>
      <c r="K104" s="53"/>
    </row>
    <row r="105" spans="2:11" s="54" customFormat="1" ht="20.100000000000001" customHeight="1" x14ac:dyDescent="0.25">
      <c r="B105" s="57" t="s">
        <v>73</v>
      </c>
      <c r="C105" s="104" t="s">
        <v>74</v>
      </c>
      <c r="D105" s="105"/>
      <c r="E105" s="58">
        <v>7.96</v>
      </c>
      <c r="F105" s="58">
        <v>6.1</v>
      </c>
      <c r="G105" s="58">
        <v>7.96</v>
      </c>
      <c r="H105" s="58">
        <v>6.1</v>
      </c>
      <c r="I105" s="53"/>
      <c r="J105" s="53"/>
      <c r="K105" s="53"/>
    </row>
    <row r="106" spans="2:11" s="54" customFormat="1" ht="20.100000000000001" customHeight="1" x14ac:dyDescent="0.25">
      <c r="B106" s="59" t="s">
        <v>75</v>
      </c>
      <c r="C106" s="117" t="s">
        <v>76</v>
      </c>
      <c r="D106" s="118"/>
      <c r="E106" s="60">
        <v>0.03</v>
      </c>
      <c r="F106" s="60">
        <v>0.03</v>
      </c>
      <c r="G106" s="60">
        <v>0.03</v>
      </c>
      <c r="H106" s="60">
        <v>0.03</v>
      </c>
      <c r="I106" s="53"/>
      <c r="J106" s="53"/>
      <c r="K106" s="53"/>
    </row>
    <row r="107" spans="2:11" s="54" customFormat="1" ht="20.100000000000001" customHeight="1" x14ac:dyDescent="0.25">
      <c r="B107" s="73" t="s">
        <v>77</v>
      </c>
      <c r="C107" s="108" t="s">
        <v>78</v>
      </c>
      <c r="D107" s="109"/>
      <c r="E107" s="75">
        <f>SUM(E97:E106)</f>
        <v>45.21</v>
      </c>
      <c r="F107" s="75">
        <f>SUM(F97:F106)</f>
        <v>15.83</v>
      </c>
      <c r="G107" s="75">
        <f>SUM(G97:G106)</f>
        <v>45.21</v>
      </c>
      <c r="H107" s="75">
        <f>SUM(H97:H106)</f>
        <v>15.83</v>
      </c>
      <c r="I107" s="53"/>
      <c r="J107" s="53"/>
      <c r="K107" s="53"/>
    </row>
    <row r="108" spans="2:11" s="54" customFormat="1" ht="20.100000000000001" customHeight="1" x14ac:dyDescent="0.25">
      <c r="B108" s="114" t="s">
        <v>79</v>
      </c>
      <c r="C108" s="115"/>
      <c r="D108" s="115"/>
      <c r="E108" s="115"/>
      <c r="F108" s="115"/>
      <c r="G108" s="115"/>
      <c r="H108" s="116"/>
      <c r="I108" s="53"/>
      <c r="J108" s="53"/>
      <c r="K108" s="53"/>
    </row>
    <row r="109" spans="2:11" s="54" customFormat="1" ht="20.100000000000001" customHeight="1" x14ac:dyDescent="0.25">
      <c r="B109" s="55" t="s">
        <v>80</v>
      </c>
      <c r="C109" s="110" t="s">
        <v>81</v>
      </c>
      <c r="D109" s="111"/>
      <c r="E109" s="56">
        <v>4.72</v>
      </c>
      <c r="F109" s="56">
        <v>3.62</v>
      </c>
      <c r="G109" s="56">
        <v>4.72</v>
      </c>
      <c r="H109" s="56">
        <v>3.62</v>
      </c>
      <c r="I109" s="53"/>
      <c r="J109" s="53"/>
      <c r="K109" s="53"/>
    </row>
    <row r="110" spans="2:11" s="54" customFormat="1" ht="20.100000000000001" customHeight="1" x14ac:dyDescent="0.25">
      <c r="B110" s="57" t="s">
        <v>82</v>
      </c>
      <c r="C110" s="104" t="s">
        <v>83</v>
      </c>
      <c r="D110" s="105"/>
      <c r="E110" s="58">
        <v>0.11</v>
      </c>
      <c r="F110" s="58">
        <v>0.09</v>
      </c>
      <c r="G110" s="58">
        <v>0.11</v>
      </c>
      <c r="H110" s="58">
        <v>0.09</v>
      </c>
      <c r="I110" s="53"/>
      <c r="J110" s="53"/>
      <c r="K110" s="53"/>
    </row>
    <row r="111" spans="2:11" s="54" customFormat="1" ht="20.100000000000001" customHeight="1" x14ac:dyDescent="0.25">
      <c r="B111" s="57" t="s">
        <v>84</v>
      </c>
      <c r="C111" s="104" t="s">
        <v>85</v>
      </c>
      <c r="D111" s="105"/>
      <c r="E111" s="58">
        <v>5.3</v>
      </c>
      <c r="F111" s="58">
        <v>4.07</v>
      </c>
      <c r="G111" s="58">
        <v>5.3</v>
      </c>
      <c r="H111" s="58">
        <v>4.07</v>
      </c>
      <c r="I111" s="53"/>
      <c r="J111" s="53"/>
      <c r="K111" s="53"/>
    </row>
    <row r="112" spans="2:11" s="54" customFormat="1" ht="20.100000000000001" customHeight="1" x14ac:dyDescent="0.25">
      <c r="B112" s="57" t="s">
        <v>86</v>
      </c>
      <c r="C112" s="104" t="s">
        <v>87</v>
      </c>
      <c r="D112" s="105"/>
      <c r="E112" s="58">
        <v>3.76</v>
      </c>
      <c r="F112" s="58">
        <v>2.88</v>
      </c>
      <c r="G112" s="58">
        <v>3.76</v>
      </c>
      <c r="H112" s="58">
        <v>2.88</v>
      </c>
      <c r="I112" s="53"/>
      <c r="J112" s="53"/>
      <c r="K112" s="53"/>
    </row>
    <row r="113" spans="2:11" s="54" customFormat="1" ht="20.100000000000001" customHeight="1" x14ac:dyDescent="0.25">
      <c r="B113" s="59" t="s">
        <v>88</v>
      </c>
      <c r="C113" s="106" t="s">
        <v>89</v>
      </c>
      <c r="D113" s="107"/>
      <c r="E113" s="60">
        <v>0.4</v>
      </c>
      <c r="F113" s="60">
        <v>0.3</v>
      </c>
      <c r="G113" s="60">
        <v>0.4</v>
      </c>
      <c r="H113" s="60">
        <v>0.3</v>
      </c>
      <c r="I113" s="53"/>
      <c r="J113" s="53"/>
      <c r="K113" s="53"/>
    </row>
    <row r="114" spans="2:11" s="54" customFormat="1" ht="20.100000000000001" customHeight="1" x14ac:dyDescent="0.25">
      <c r="B114" s="73" t="s">
        <v>90</v>
      </c>
      <c r="C114" s="108" t="s">
        <v>78</v>
      </c>
      <c r="D114" s="109"/>
      <c r="E114" s="75">
        <f>SUM(E109:E113)</f>
        <v>14.29</v>
      </c>
      <c r="F114" s="75">
        <f t="shared" ref="F114:G114" si="0">SUM(F109:F113)</f>
        <v>10.96</v>
      </c>
      <c r="G114" s="75">
        <f t="shared" si="0"/>
        <v>14.29</v>
      </c>
      <c r="H114" s="75">
        <f t="shared" ref="H114" si="1">SUM(H109:H113)</f>
        <v>10.96</v>
      </c>
      <c r="I114" s="53"/>
      <c r="J114" s="53"/>
      <c r="K114" s="53"/>
    </row>
    <row r="115" spans="2:11" s="54" customFormat="1" ht="20.100000000000001" customHeight="1" x14ac:dyDescent="0.25">
      <c r="B115" s="114" t="s">
        <v>91</v>
      </c>
      <c r="C115" s="115"/>
      <c r="D115" s="115"/>
      <c r="E115" s="115"/>
      <c r="F115" s="115"/>
      <c r="G115" s="115"/>
      <c r="H115" s="116"/>
      <c r="I115" s="53"/>
      <c r="J115" s="53"/>
      <c r="K115" s="53"/>
    </row>
    <row r="116" spans="2:11" s="54" customFormat="1" ht="20.100000000000001" customHeight="1" x14ac:dyDescent="0.25">
      <c r="B116" s="55" t="s">
        <v>92</v>
      </c>
      <c r="C116" s="110" t="s">
        <v>93</v>
      </c>
      <c r="D116" s="111"/>
      <c r="E116" s="62">
        <f>ROUND(E95*E107/100,2)</f>
        <v>7.6</v>
      </c>
      <c r="F116" s="62">
        <f t="shared" ref="F116:H116" si="2">ROUND(F95*F107/100,2)</f>
        <v>2.66</v>
      </c>
      <c r="G116" s="62">
        <f t="shared" si="2"/>
        <v>16.64</v>
      </c>
      <c r="H116" s="62">
        <f t="shared" si="2"/>
        <v>5.83</v>
      </c>
      <c r="I116" s="53"/>
      <c r="J116" s="53"/>
      <c r="K116" s="53"/>
    </row>
    <row r="117" spans="2:11" s="54" customFormat="1" ht="39.950000000000003" customHeight="1" x14ac:dyDescent="0.25">
      <c r="B117" s="59" t="s">
        <v>94</v>
      </c>
      <c r="C117" s="112" t="s">
        <v>95</v>
      </c>
      <c r="D117" s="113"/>
      <c r="E117" s="60">
        <f>ROUND((E95*E110+E93*E109)/100,2)</f>
        <v>0.4</v>
      </c>
      <c r="F117" s="60">
        <f t="shared" ref="F117:H117" si="3">ROUND((F95*F110+F93*F109)/100,2)</f>
        <v>0.3</v>
      </c>
      <c r="G117" s="60">
        <f t="shared" si="3"/>
        <v>0.42</v>
      </c>
      <c r="H117" s="60">
        <f t="shared" si="3"/>
        <v>0.32</v>
      </c>
      <c r="I117" s="53"/>
      <c r="J117" s="53"/>
      <c r="K117" s="53"/>
    </row>
    <row r="118" spans="2:11" s="54" customFormat="1" ht="20.100000000000001" customHeight="1" x14ac:dyDescent="0.25">
      <c r="B118" s="73" t="s">
        <v>96</v>
      </c>
      <c r="C118" s="108" t="s">
        <v>54</v>
      </c>
      <c r="D118" s="109"/>
      <c r="E118" s="75">
        <f>ROUND(SUM(E116:E117),2)</f>
        <v>8</v>
      </c>
      <c r="F118" s="75">
        <f t="shared" ref="F118:H118" si="4">ROUND(SUM(F116:F117),2)</f>
        <v>2.96</v>
      </c>
      <c r="G118" s="75">
        <f t="shared" si="4"/>
        <v>17.059999999999999</v>
      </c>
      <c r="H118" s="75">
        <f t="shared" si="4"/>
        <v>6.15</v>
      </c>
      <c r="I118" s="53"/>
      <c r="J118" s="53"/>
      <c r="K118" s="53"/>
    </row>
    <row r="119" spans="2:11" s="54" customFormat="1" ht="20.100000000000001" customHeight="1" x14ac:dyDescent="0.25">
      <c r="B119" s="132"/>
      <c r="C119" s="133"/>
      <c r="D119" s="134"/>
      <c r="E119" s="134"/>
      <c r="F119" s="134"/>
      <c r="G119" s="134"/>
      <c r="I119" s="53"/>
      <c r="J119" s="53"/>
      <c r="K119" s="53"/>
    </row>
    <row r="120" spans="2:11" s="54" customFormat="1" ht="20.100000000000001" customHeight="1" x14ac:dyDescent="0.25">
      <c r="B120" s="127" t="s">
        <v>97</v>
      </c>
      <c r="C120" s="128"/>
      <c r="D120" s="127"/>
      <c r="E120" s="61">
        <f>E95+E107+E114+E118</f>
        <v>84.300000000000011</v>
      </c>
      <c r="F120" s="61">
        <f t="shared" ref="F120:G120" si="5">F95+F107+F114+F118</f>
        <v>46.550000000000004</v>
      </c>
      <c r="G120" s="61">
        <f t="shared" si="5"/>
        <v>113.35999999999999</v>
      </c>
      <c r="H120" s="63">
        <f>SUM(H95+H107+H114+H118)</f>
        <v>69.739999999999995</v>
      </c>
      <c r="I120" s="53"/>
      <c r="J120" s="53"/>
      <c r="K120" s="53"/>
    </row>
  </sheetData>
  <mergeCells count="119">
    <mergeCell ref="D2:H2"/>
    <mergeCell ref="D3:H3"/>
    <mergeCell ref="D4:H4"/>
    <mergeCell ref="D5:H5"/>
    <mergeCell ref="D6:H6"/>
    <mergeCell ref="B34:H34"/>
    <mergeCell ref="C35:F35"/>
    <mergeCell ref="C36:F36"/>
    <mergeCell ref="C37:F37"/>
    <mergeCell ref="D41:F41"/>
    <mergeCell ref="B62:G62"/>
    <mergeCell ref="I34:K34"/>
    <mergeCell ref="B59:C59"/>
    <mergeCell ref="D59:F59"/>
    <mergeCell ref="B60:C60"/>
    <mergeCell ref="D60:F60"/>
    <mergeCell ref="B61:C61"/>
    <mergeCell ref="D61:F61"/>
    <mergeCell ref="C57:F57"/>
    <mergeCell ref="B58:C58"/>
    <mergeCell ref="D58:F58"/>
    <mergeCell ref="B42:C42"/>
    <mergeCell ref="D42:F42"/>
    <mergeCell ref="B82:H82"/>
    <mergeCell ref="C55:F55"/>
    <mergeCell ref="C56:F56"/>
    <mergeCell ref="B15:E15"/>
    <mergeCell ref="B43:C43"/>
    <mergeCell ref="D43:F43"/>
    <mergeCell ref="B120:D120"/>
    <mergeCell ref="E83:F83"/>
    <mergeCell ref="B83:B84"/>
    <mergeCell ref="B119:G119"/>
    <mergeCell ref="G83:H83"/>
    <mergeCell ref="B85:H85"/>
    <mergeCell ref="B96:H96"/>
    <mergeCell ref="B108:H108"/>
    <mergeCell ref="C88:D88"/>
    <mergeCell ref="C89:D89"/>
    <mergeCell ref="C90:D90"/>
    <mergeCell ref="C91:D91"/>
    <mergeCell ref="C92:D92"/>
    <mergeCell ref="D27:F27"/>
    <mergeCell ref="D28:F28"/>
    <mergeCell ref="C40:F40"/>
    <mergeCell ref="B41:C41"/>
    <mergeCell ref="B33:H33"/>
    <mergeCell ref="C117:D117"/>
    <mergeCell ref="C118:D118"/>
    <mergeCell ref="B115:H115"/>
    <mergeCell ref="B28:C28"/>
    <mergeCell ref="C110:D110"/>
    <mergeCell ref="C111:D111"/>
    <mergeCell ref="C112:D112"/>
    <mergeCell ref="C113:D113"/>
    <mergeCell ref="C114:D114"/>
    <mergeCell ref="C104:D104"/>
    <mergeCell ref="C105:D105"/>
    <mergeCell ref="C106:D106"/>
    <mergeCell ref="C107:D107"/>
    <mergeCell ref="C109:D109"/>
    <mergeCell ref="C99:D99"/>
    <mergeCell ref="C83:D84"/>
    <mergeCell ref="C86:D86"/>
    <mergeCell ref="C87:D87"/>
    <mergeCell ref="C98:D98"/>
    <mergeCell ref="C38:F38"/>
    <mergeCell ref="C39:F39"/>
    <mergeCell ref="C52:F52"/>
    <mergeCell ref="C53:F53"/>
    <mergeCell ref="C54:F54"/>
    <mergeCell ref="C100:D100"/>
    <mergeCell ref="C101:D101"/>
    <mergeCell ref="C102:D102"/>
    <mergeCell ref="C103:D103"/>
    <mergeCell ref="C93:D93"/>
    <mergeCell ref="C94:D94"/>
    <mergeCell ref="C95:D95"/>
    <mergeCell ref="C97:D97"/>
    <mergeCell ref="C116:D116"/>
    <mergeCell ref="I67:K67"/>
    <mergeCell ref="C68:F68"/>
    <mergeCell ref="C69:F69"/>
    <mergeCell ref="C70:F70"/>
    <mergeCell ref="I17:K18"/>
    <mergeCell ref="I51:K51"/>
    <mergeCell ref="B18:H18"/>
    <mergeCell ref="B17:H17"/>
    <mergeCell ref="B25:C25"/>
    <mergeCell ref="B26:C26"/>
    <mergeCell ref="B27:C27"/>
    <mergeCell ref="C19:F19"/>
    <mergeCell ref="C20:F20"/>
    <mergeCell ref="C21:F21"/>
    <mergeCell ref="C22:F22"/>
    <mergeCell ref="C23:F23"/>
    <mergeCell ref="C24:F24"/>
    <mergeCell ref="D25:F25"/>
    <mergeCell ref="D26:F26"/>
    <mergeCell ref="B29:G29"/>
    <mergeCell ref="B44:C44"/>
    <mergeCell ref="D44:F44"/>
    <mergeCell ref="B45:G45"/>
    <mergeCell ref="B51:H51"/>
    <mergeCell ref="B78:G78"/>
    <mergeCell ref="B50:H50"/>
    <mergeCell ref="B66:H66"/>
    <mergeCell ref="B75:C75"/>
    <mergeCell ref="D75:F75"/>
    <mergeCell ref="B76:C76"/>
    <mergeCell ref="D76:F76"/>
    <mergeCell ref="B77:C77"/>
    <mergeCell ref="D77:F77"/>
    <mergeCell ref="C71:F71"/>
    <mergeCell ref="C72:F72"/>
    <mergeCell ref="C73:F73"/>
    <mergeCell ref="B74:C74"/>
    <mergeCell ref="D74:F74"/>
    <mergeCell ref="B67:H67"/>
  </mergeCells>
  <conditionalFormatting sqref="H20">
    <cfRule type="cellIs" dxfId="69" priority="206" stopIfTrue="1" operator="equal">
      <formula>$J20</formula>
    </cfRule>
    <cfRule type="cellIs" dxfId="68" priority="207" operator="lessThan">
      <formula>$I20</formula>
    </cfRule>
    <cfRule type="cellIs" dxfId="67" priority="208" operator="greaterThan">
      <formula>$K20</formula>
    </cfRule>
    <cfRule type="cellIs" dxfId="66" priority="209" operator="between">
      <formula>$J20</formula>
      <formula>$K20</formula>
    </cfRule>
    <cfRule type="cellIs" dxfId="65" priority="210" operator="between">
      <formula>$I20</formula>
      <formula>$J20</formula>
    </cfRule>
  </conditionalFormatting>
  <conditionalFormatting sqref="H21">
    <cfRule type="cellIs" dxfId="64" priority="66" stopIfTrue="1" operator="equal">
      <formula>$J21</formula>
    </cfRule>
    <cfRule type="cellIs" dxfId="63" priority="67" operator="lessThan">
      <formula>$I21</formula>
    </cfRule>
    <cfRule type="cellIs" dxfId="62" priority="68" operator="greaterThan">
      <formula>$K21</formula>
    </cfRule>
    <cfRule type="cellIs" dxfId="61" priority="69" operator="between">
      <formula>$J21</formula>
      <formula>$K21</formula>
    </cfRule>
    <cfRule type="cellIs" dxfId="60" priority="70" operator="between">
      <formula>$I21</formula>
      <formula>$J21</formula>
    </cfRule>
  </conditionalFormatting>
  <conditionalFormatting sqref="H22">
    <cfRule type="cellIs" dxfId="59" priority="61" stopIfTrue="1" operator="equal">
      <formula>$J22</formula>
    </cfRule>
    <cfRule type="cellIs" dxfId="58" priority="62" operator="lessThan">
      <formula>$I22</formula>
    </cfRule>
    <cfRule type="cellIs" dxfId="57" priority="63" operator="greaterThan">
      <formula>$K22</formula>
    </cfRule>
    <cfRule type="cellIs" dxfId="56" priority="64" operator="between">
      <formula>$J22</formula>
      <formula>$K22</formula>
    </cfRule>
    <cfRule type="cellIs" dxfId="55" priority="65" operator="between">
      <formula>$I22</formula>
      <formula>$J22</formula>
    </cfRule>
  </conditionalFormatting>
  <conditionalFormatting sqref="H23">
    <cfRule type="cellIs" dxfId="54" priority="56" stopIfTrue="1" operator="equal">
      <formula>$J23</formula>
    </cfRule>
    <cfRule type="cellIs" dxfId="53" priority="57" operator="lessThan">
      <formula>$I23</formula>
    </cfRule>
    <cfRule type="cellIs" dxfId="52" priority="58" operator="greaterThan">
      <formula>$K23</formula>
    </cfRule>
    <cfRule type="cellIs" dxfId="51" priority="59" operator="between">
      <formula>$J23</formula>
      <formula>$K23</formula>
    </cfRule>
    <cfRule type="cellIs" dxfId="50" priority="60" operator="between">
      <formula>$I23</formula>
      <formula>$J23</formula>
    </cfRule>
  </conditionalFormatting>
  <conditionalFormatting sqref="H53">
    <cfRule type="cellIs" dxfId="49" priority="51" stopIfTrue="1" operator="equal">
      <formula>$J53</formula>
    </cfRule>
    <cfRule type="cellIs" dxfId="48" priority="52" operator="lessThan">
      <formula>$I53</formula>
    </cfRule>
    <cfRule type="cellIs" dxfId="47" priority="53" operator="greaterThan">
      <formula>$K53</formula>
    </cfRule>
    <cfRule type="cellIs" dxfId="46" priority="54" operator="between">
      <formula>$J53</formula>
      <formula>$K53</formula>
    </cfRule>
    <cfRule type="cellIs" dxfId="45" priority="55" operator="between">
      <formula>$I53</formula>
      <formula>$J53</formula>
    </cfRule>
  </conditionalFormatting>
  <conditionalFormatting sqref="H54">
    <cfRule type="cellIs" dxfId="44" priority="46" stopIfTrue="1" operator="equal">
      <formula>$J54</formula>
    </cfRule>
    <cfRule type="cellIs" dxfId="43" priority="47" operator="lessThan">
      <formula>$I54</formula>
    </cfRule>
    <cfRule type="cellIs" dxfId="42" priority="48" operator="greaterThan">
      <formula>$K54</formula>
    </cfRule>
    <cfRule type="cellIs" dxfId="41" priority="49" operator="between">
      <formula>$J54</formula>
      <formula>$K54</formula>
    </cfRule>
    <cfRule type="cellIs" dxfId="40" priority="50" operator="between">
      <formula>$I54</formula>
      <formula>$J54</formula>
    </cfRule>
  </conditionalFormatting>
  <conditionalFormatting sqref="H55">
    <cfRule type="cellIs" dxfId="39" priority="41" stopIfTrue="1" operator="equal">
      <formula>$J55</formula>
    </cfRule>
    <cfRule type="cellIs" dxfId="38" priority="42" operator="lessThan">
      <formula>$I55</formula>
    </cfRule>
    <cfRule type="cellIs" dxfId="37" priority="43" operator="greaterThan">
      <formula>$K55</formula>
    </cfRule>
    <cfRule type="cellIs" dxfId="36" priority="44" operator="between">
      <formula>$J55</formula>
      <formula>$K55</formula>
    </cfRule>
    <cfRule type="cellIs" dxfId="35" priority="45" operator="between">
      <formula>$I55</formula>
      <formula>$J55</formula>
    </cfRule>
  </conditionalFormatting>
  <conditionalFormatting sqref="H56">
    <cfRule type="cellIs" dxfId="34" priority="36" stopIfTrue="1" operator="equal">
      <formula>$J56</formula>
    </cfRule>
    <cfRule type="cellIs" dxfId="33" priority="37" operator="lessThan">
      <formula>$I56</formula>
    </cfRule>
    <cfRule type="cellIs" dxfId="32" priority="38" operator="greaterThan">
      <formula>$K56</formula>
    </cfRule>
    <cfRule type="cellIs" dxfId="31" priority="39" operator="between">
      <formula>$J56</formula>
      <formula>$K56</formula>
    </cfRule>
    <cfRule type="cellIs" dxfId="30" priority="40" operator="between">
      <formula>$I56</formula>
      <formula>$J56</formula>
    </cfRule>
  </conditionalFormatting>
  <conditionalFormatting sqref="H62">
    <cfRule type="cellIs" dxfId="29" priority="31" stopIfTrue="1" operator="equal">
      <formula>$J62</formula>
    </cfRule>
    <cfRule type="cellIs" dxfId="28" priority="32" operator="lessThan">
      <formula>$I62</formula>
    </cfRule>
    <cfRule type="cellIs" dxfId="27" priority="33" operator="greaterThan">
      <formula>$K62</formula>
    </cfRule>
    <cfRule type="cellIs" dxfId="26" priority="34" operator="between">
      <formula>$J62</formula>
      <formula>$K62</formula>
    </cfRule>
    <cfRule type="cellIs" dxfId="25" priority="35" operator="between">
      <formula>$I62</formula>
      <formula>$J62</formula>
    </cfRule>
  </conditionalFormatting>
  <conditionalFormatting sqref="H29">
    <cfRule type="cellIs" dxfId="24" priority="26" stopIfTrue="1" operator="equal">
      <formula>$J29</formula>
    </cfRule>
    <cfRule type="cellIs" dxfId="23" priority="27" operator="lessThan">
      <formula>$I29</formula>
    </cfRule>
    <cfRule type="cellIs" dxfId="22" priority="28" operator="greaterThan">
      <formula>$K29</formula>
    </cfRule>
    <cfRule type="cellIs" dxfId="21" priority="29" operator="between">
      <formula>$J29</formula>
      <formula>$K29</formula>
    </cfRule>
    <cfRule type="cellIs" dxfId="20" priority="30" operator="between">
      <formula>$I29</formula>
      <formula>$J29</formula>
    </cfRule>
  </conditionalFormatting>
  <conditionalFormatting sqref="H69">
    <cfRule type="cellIs" dxfId="19" priority="21" stopIfTrue="1" operator="equal">
      <formula>$J69</formula>
    </cfRule>
    <cfRule type="cellIs" dxfId="18" priority="22" operator="lessThan">
      <formula>$I69</formula>
    </cfRule>
    <cfRule type="cellIs" dxfId="17" priority="23" operator="greaterThan">
      <formula>$K69</formula>
    </cfRule>
    <cfRule type="cellIs" dxfId="16" priority="24" operator="between">
      <formula>$J69</formula>
      <formula>$K69</formula>
    </cfRule>
    <cfRule type="cellIs" dxfId="15" priority="25" operator="between">
      <formula>$I69</formula>
      <formula>$J69</formula>
    </cfRule>
  </conditionalFormatting>
  <conditionalFormatting sqref="H70">
    <cfRule type="cellIs" dxfId="14" priority="16" stopIfTrue="1" operator="equal">
      <formula>$J70</formula>
    </cfRule>
    <cfRule type="cellIs" dxfId="13" priority="17" operator="lessThan">
      <formula>$I70</formula>
    </cfRule>
    <cfRule type="cellIs" dxfId="12" priority="18" operator="greaterThan">
      <formula>$K70</formula>
    </cfRule>
    <cfRule type="cellIs" dxfId="11" priority="19" operator="between">
      <formula>$J70</formula>
      <formula>$K70</formula>
    </cfRule>
    <cfRule type="cellIs" dxfId="10" priority="20" operator="between">
      <formula>$I70</formula>
      <formula>$J70</formula>
    </cfRule>
  </conditionalFormatting>
  <conditionalFormatting sqref="H71">
    <cfRule type="cellIs" dxfId="9" priority="11" stopIfTrue="1" operator="equal">
      <formula>$J71</formula>
    </cfRule>
    <cfRule type="cellIs" dxfId="8" priority="12" operator="lessThan">
      <formula>$I71</formula>
    </cfRule>
    <cfRule type="cellIs" dxfId="7" priority="13" operator="greaterThan">
      <formula>$K71</formula>
    </cfRule>
    <cfRule type="cellIs" dxfId="6" priority="14" operator="between">
      <formula>$J71</formula>
      <formula>$K71</formula>
    </cfRule>
    <cfRule type="cellIs" dxfId="5" priority="15" operator="between">
      <formula>$I71</formula>
      <formula>$J71</formula>
    </cfRule>
  </conditionalFormatting>
  <conditionalFormatting sqref="H72">
    <cfRule type="cellIs" dxfId="4" priority="6" stopIfTrue="1" operator="equal">
      <formula>$J72</formula>
    </cfRule>
    <cfRule type="cellIs" dxfId="3" priority="7" operator="lessThan">
      <formula>$I72</formula>
    </cfRule>
    <cfRule type="cellIs" dxfId="2" priority="8" operator="greaterThan">
      <formula>$K72</formula>
    </cfRule>
    <cfRule type="cellIs" dxfId="1" priority="9" operator="between">
      <formula>$J72</formula>
      <formula>$K72</formula>
    </cfRule>
    <cfRule type="cellIs" dxfId="0" priority="10" operator="between">
      <formula>$I72</formula>
      <formula>$J72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94" fitToHeight="0" orientation="portrait" r:id="rId1"/>
  <rowBreaks count="1" manualBreakCount="1">
    <brk id="49" min="1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Figura do Microsoft Photo Editor 3.0" shapeId="3073" r:id="rId5">
          <objectPr defaultSize="0" autoPict="0" r:id="rId6">
            <anchor moveWithCells="1" sizeWithCells="1">
              <from>
                <xdr:col>1</xdr:col>
                <xdr:colOff>19050</xdr:colOff>
                <xdr:row>1</xdr:row>
                <xdr:rowOff>66675</xdr:rowOff>
              </from>
              <to>
                <xdr:col>3</xdr:col>
                <xdr:colOff>428625</xdr:colOff>
                <xdr:row>5</xdr:row>
                <xdr:rowOff>104775</xdr:rowOff>
              </to>
            </anchor>
          </objectPr>
        </oleObject>
      </mc:Choice>
      <mc:Fallback>
        <oleObject progId="Figura do Microsoft Photo Editor 3.0" shapeId="3073" r:id="rId5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935AB8A-BEF8-42F4-AE02-14CADBCA5C59}">
          <x14:formula1>
            <xm:f>DADOS!$B$1:$B$5</xm:f>
          </x14:formula1>
          <xm:sqref>B15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A8AFE-E9E1-4557-A2D1-4BE55EE28472}">
  <dimension ref="A1:P19"/>
  <sheetViews>
    <sheetView workbookViewId="0">
      <selection activeCell="N23" sqref="N23"/>
    </sheetView>
  </sheetViews>
  <sheetFormatPr defaultRowHeight="15" x14ac:dyDescent="0.25"/>
  <cols>
    <col min="1" max="1" width="20.7109375" customWidth="1"/>
    <col min="2" max="16" width="10.7109375" customWidth="1"/>
  </cols>
  <sheetData>
    <row r="1" spans="1:16" x14ac:dyDescent="0.25">
      <c r="B1" t="s">
        <v>117</v>
      </c>
    </row>
    <row r="2" spans="1:16" x14ac:dyDescent="0.25">
      <c r="B2" t="s">
        <v>118</v>
      </c>
    </row>
    <row r="3" spans="1:16" x14ac:dyDescent="0.25">
      <c r="B3" t="s">
        <v>119</v>
      </c>
    </row>
    <row r="4" spans="1:16" x14ac:dyDescent="0.25">
      <c r="B4" t="s">
        <v>120</v>
      </c>
    </row>
    <row r="5" spans="1:16" x14ac:dyDescent="0.25">
      <c r="B5" t="s">
        <v>121</v>
      </c>
    </row>
    <row r="7" spans="1:16" ht="15" customHeight="1" x14ac:dyDescent="0.25">
      <c r="B7" s="66" t="s">
        <v>125</v>
      </c>
      <c r="C7" s="66" t="s">
        <v>126</v>
      </c>
      <c r="D7" s="66" t="s">
        <v>127</v>
      </c>
      <c r="E7" s="67" t="s">
        <v>128</v>
      </c>
      <c r="F7" s="67" t="s">
        <v>129</v>
      </c>
      <c r="G7" s="67" t="s">
        <v>130</v>
      </c>
      <c r="H7" s="67" t="s">
        <v>131</v>
      </c>
      <c r="I7" s="67" t="s">
        <v>132</v>
      </c>
      <c r="J7" s="67" t="s">
        <v>133</v>
      </c>
      <c r="K7" s="68" t="s">
        <v>134</v>
      </c>
      <c r="L7" s="68" t="s">
        <v>135</v>
      </c>
      <c r="M7" s="68" t="s">
        <v>136</v>
      </c>
      <c r="N7" s="68" t="s">
        <v>137</v>
      </c>
      <c r="O7" s="68" t="s">
        <v>138</v>
      </c>
      <c r="P7" s="68" t="s">
        <v>139</v>
      </c>
    </row>
    <row r="8" spans="1:16" x14ac:dyDescent="0.25">
      <c r="B8" s="19" t="s">
        <v>114</v>
      </c>
      <c r="C8" s="20" t="s">
        <v>115</v>
      </c>
      <c r="D8" s="20" t="s">
        <v>116</v>
      </c>
      <c r="E8" s="21" t="s">
        <v>114</v>
      </c>
      <c r="F8" s="20" t="s">
        <v>115</v>
      </c>
      <c r="G8" s="22" t="s">
        <v>116</v>
      </c>
      <c r="H8" s="21" t="s">
        <v>114</v>
      </c>
      <c r="I8" s="20" t="s">
        <v>115</v>
      </c>
      <c r="J8" s="22" t="s">
        <v>116</v>
      </c>
      <c r="K8" s="21" t="s">
        <v>114</v>
      </c>
      <c r="L8" s="20" t="s">
        <v>115</v>
      </c>
      <c r="M8" s="22" t="s">
        <v>116</v>
      </c>
      <c r="N8" s="21" t="s">
        <v>114</v>
      </c>
      <c r="O8" s="20" t="s">
        <v>115</v>
      </c>
      <c r="P8" s="22" t="s">
        <v>116</v>
      </c>
    </row>
    <row r="9" spans="1:16" x14ac:dyDescent="0.25">
      <c r="A9" t="s">
        <v>22</v>
      </c>
      <c r="B9" s="13">
        <v>0.03</v>
      </c>
      <c r="C9" s="13">
        <v>0.04</v>
      </c>
      <c r="D9" s="13">
        <v>5.5E-2</v>
      </c>
      <c r="E9" s="16">
        <v>3.7999999999999999E-2</v>
      </c>
      <c r="F9" s="13">
        <v>4.0099999999999997E-2</v>
      </c>
      <c r="G9" s="15">
        <v>4.6699999999999998E-2</v>
      </c>
      <c r="H9" s="16">
        <v>3.4299999999999997E-2</v>
      </c>
      <c r="I9" s="13">
        <v>4.9299999999999997E-2</v>
      </c>
      <c r="J9" s="15">
        <v>6.7100000000000007E-2</v>
      </c>
      <c r="K9" s="16">
        <v>5.2900000000000003E-2</v>
      </c>
      <c r="L9" s="13">
        <v>5.9200000000000003E-2</v>
      </c>
      <c r="M9" s="15">
        <v>7.9299999999999995E-2</v>
      </c>
      <c r="N9" s="16">
        <v>0.04</v>
      </c>
      <c r="O9" s="13">
        <v>5.5199999999999999E-2</v>
      </c>
      <c r="P9" s="15">
        <v>7.85E-2</v>
      </c>
    </row>
    <row r="10" spans="1:16" x14ac:dyDescent="0.25">
      <c r="A10" t="s">
        <v>23</v>
      </c>
      <c r="B10" s="13">
        <v>5.8999999999999999E-3</v>
      </c>
      <c r="C10" s="13">
        <v>1.23E-2</v>
      </c>
      <c r="D10" s="13">
        <v>1.3899999999999999E-2</v>
      </c>
      <c r="E10" s="16">
        <v>1.0200000000000001E-2</v>
      </c>
      <c r="F10" s="13">
        <v>1.11E-2</v>
      </c>
      <c r="G10" s="15">
        <v>1.21E-2</v>
      </c>
      <c r="H10" s="16">
        <v>9.4000000000000004E-3</v>
      </c>
      <c r="I10" s="13">
        <v>9.9000000000000008E-3</v>
      </c>
      <c r="J10" s="15">
        <v>1.17E-2</v>
      </c>
      <c r="K10" s="16">
        <v>1.01E-2</v>
      </c>
      <c r="L10" s="13">
        <v>1.0699999999999999E-2</v>
      </c>
      <c r="M10" s="15">
        <v>1.11E-2</v>
      </c>
      <c r="N10" s="16">
        <v>9.4000000000000004E-3</v>
      </c>
      <c r="O10" s="13">
        <v>1.0200000000000001E-2</v>
      </c>
      <c r="P10" s="15">
        <v>1.3299999999999999E-2</v>
      </c>
    </row>
    <row r="11" spans="1:16" x14ac:dyDescent="0.25">
      <c r="A11" t="s">
        <v>24</v>
      </c>
      <c r="B11" s="13">
        <f>0.8%+0.97%</f>
        <v>1.77E-2</v>
      </c>
      <c r="C11" s="13">
        <f>0.8%+1.27%</f>
        <v>2.07E-2</v>
      </c>
      <c r="D11" s="13">
        <f>1%+1.27%</f>
        <v>2.2699999999999998E-2</v>
      </c>
      <c r="E11" s="16">
        <f>0.32%+0.5%</f>
        <v>8.2000000000000007E-3</v>
      </c>
      <c r="F11" s="13">
        <f>0.4%+0.56%</f>
        <v>9.6000000000000009E-3</v>
      </c>
      <c r="G11" s="15">
        <f>0.74%+0.97%</f>
        <v>1.7100000000000001E-2</v>
      </c>
      <c r="H11" s="16">
        <f>0.28%+1%</f>
        <v>1.2800000000000001E-2</v>
      </c>
      <c r="I11" s="13">
        <f>0.49%+1.39%</f>
        <v>1.8799999999999997E-2</v>
      </c>
      <c r="J11" s="15">
        <f>0.75%+1.74%</f>
        <v>2.4899999999999999E-2</v>
      </c>
      <c r="K11" s="16">
        <f>0.25%+1%</f>
        <v>1.2500000000000001E-2</v>
      </c>
      <c r="L11" s="13">
        <f>0.51%+1.48%</f>
        <v>1.9900000000000001E-2</v>
      </c>
      <c r="M11" s="15">
        <f>0.56%+1.97%</f>
        <v>2.53E-2</v>
      </c>
      <c r="N11" s="16">
        <f>0.81%+1.46%</f>
        <v>2.2700000000000001E-2</v>
      </c>
      <c r="O11" s="13">
        <f>1.22%+2.32%</f>
        <v>3.5400000000000001E-2</v>
      </c>
      <c r="P11" s="15">
        <f>1.99%+3.16%</f>
        <v>5.1500000000000004E-2</v>
      </c>
    </row>
    <row r="12" spans="1:16" x14ac:dyDescent="0.25">
      <c r="A12" t="s">
        <v>25</v>
      </c>
      <c r="B12" s="13">
        <v>6.1600000000000002E-2</v>
      </c>
      <c r="C12" s="13">
        <v>7.3999999999999996E-2</v>
      </c>
      <c r="D12" s="13">
        <v>8.9599999999999999E-2</v>
      </c>
      <c r="E12" s="16">
        <v>6.6400000000000001E-2</v>
      </c>
      <c r="F12" s="13">
        <v>7.2999999999999995E-2</v>
      </c>
      <c r="G12" s="15">
        <v>8.6900000000000005E-2</v>
      </c>
      <c r="H12" s="16">
        <v>6.7400000000000002E-2</v>
      </c>
      <c r="I12" s="13">
        <v>8.0399999999999999E-2</v>
      </c>
      <c r="J12" s="15">
        <v>9.4E-2</v>
      </c>
      <c r="K12" s="16">
        <v>0.08</v>
      </c>
      <c r="L12" s="13">
        <v>8.3099999999999993E-2</v>
      </c>
      <c r="M12" s="15">
        <v>9.5100000000000004E-2</v>
      </c>
      <c r="N12" s="16">
        <v>7.1400000000000005E-2</v>
      </c>
      <c r="O12" s="13">
        <v>8.4000000000000005E-2</v>
      </c>
      <c r="P12" s="15">
        <v>0.1043</v>
      </c>
    </row>
    <row r="13" spans="1:16" x14ac:dyDescent="0.25">
      <c r="B13" s="13"/>
      <c r="C13" s="13"/>
      <c r="D13" s="13"/>
      <c r="E13" s="16"/>
      <c r="F13" s="13"/>
      <c r="G13" s="15"/>
      <c r="H13" s="16"/>
      <c r="I13" s="13"/>
      <c r="J13" s="15"/>
      <c r="K13" s="16"/>
      <c r="L13" s="13"/>
      <c r="M13" s="15"/>
      <c r="N13" s="16"/>
      <c r="O13" s="13"/>
      <c r="P13" s="15"/>
    </row>
    <row r="14" spans="1:16" x14ac:dyDescent="0.25">
      <c r="B14" s="13"/>
      <c r="C14" s="13"/>
      <c r="D14" s="13"/>
      <c r="E14" s="16"/>
      <c r="F14" s="13"/>
      <c r="G14" s="15"/>
      <c r="H14" s="16"/>
      <c r="I14" s="13"/>
      <c r="J14" s="15"/>
      <c r="K14" s="16"/>
      <c r="L14" s="13"/>
      <c r="M14" s="15"/>
      <c r="N14" s="16"/>
      <c r="O14" s="13"/>
      <c r="P14" s="15"/>
    </row>
    <row r="15" spans="1:16" x14ac:dyDescent="0.25">
      <c r="B15" s="13"/>
      <c r="C15" s="13"/>
      <c r="D15" s="13"/>
      <c r="E15" s="16"/>
      <c r="F15" s="13"/>
      <c r="G15" s="15"/>
      <c r="H15" s="16"/>
      <c r="I15" s="13"/>
      <c r="J15" s="15"/>
      <c r="K15" s="16"/>
      <c r="L15" s="13"/>
      <c r="M15" s="15"/>
      <c r="N15" s="16"/>
      <c r="O15" s="13"/>
      <c r="P15" s="15"/>
    </row>
    <row r="16" spans="1:16" x14ac:dyDescent="0.25">
      <c r="B16" s="13"/>
      <c r="C16" s="13"/>
      <c r="D16" s="13"/>
      <c r="E16" s="16"/>
      <c r="F16" s="13"/>
      <c r="G16" s="15"/>
      <c r="H16" s="16"/>
      <c r="I16" s="13"/>
      <c r="J16" s="15"/>
      <c r="K16" s="16"/>
      <c r="L16" s="13"/>
      <c r="M16" s="15"/>
      <c r="N16" s="16"/>
      <c r="O16" s="13"/>
      <c r="P16" s="15"/>
    </row>
    <row r="17" spans="2:16" x14ac:dyDescent="0.25">
      <c r="B17" s="14"/>
      <c r="C17" s="13"/>
      <c r="D17" s="13"/>
      <c r="E17" s="17"/>
      <c r="F17" s="13"/>
      <c r="G17" s="15"/>
      <c r="H17" s="17"/>
      <c r="I17" s="13"/>
      <c r="J17" s="15"/>
      <c r="K17" s="17"/>
      <c r="L17" s="13"/>
      <c r="M17" s="15"/>
      <c r="N17" s="17"/>
      <c r="O17" s="13"/>
      <c r="P17" s="15"/>
    </row>
    <row r="18" spans="2:16" x14ac:dyDescent="0.25">
      <c r="B18" s="20">
        <v>0.2034</v>
      </c>
      <c r="C18" s="20">
        <v>0.22120000000000001</v>
      </c>
      <c r="D18" s="20">
        <v>0.25</v>
      </c>
      <c r="E18" s="23">
        <v>0.19600000000000001</v>
      </c>
      <c r="F18" s="20">
        <v>0.2097</v>
      </c>
      <c r="G18" s="22">
        <v>0.24229999999999999</v>
      </c>
      <c r="H18" s="23">
        <v>0.20760000000000001</v>
      </c>
      <c r="I18" s="20">
        <v>0.24179999999999999</v>
      </c>
      <c r="J18" s="22">
        <v>0.26440000000000002</v>
      </c>
      <c r="K18" s="23">
        <v>0.24</v>
      </c>
      <c r="L18" s="20">
        <v>0.25840000000000002</v>
      </c>
      <c r="M18" s="22">
        <v>0.27860000000000001</v>
      </c>
      <c r="N18" s="23">
        <v>0.22800000000000001</v>
      </c>
      <c r="O18" s="20">
        <v>0.27479999999999999</v>
      </c>
      <c r="P18" s="22">
        <v>0.3095</v>
      </c>
    </row>
    <row r="19" spans="2:16" x14ac:dyDescent="0.25">
      <c r="B19" s="14"/>
      <c r="C19" s="14"/>
      <c r="D19" s="14"/>
      <c r="E19" s="17"/>
      <c r="F19" s="14"/>
      <c r="G19" s="18"/>
      <c r="H19" s="17"/>
      <c r="I19" s="14"/>
      <c r="J19" s="18"/>
      <c r="K19" s="17"/>
      <c r="L19" s="14"/>
      <c r="M19" s="18"/>
      <c r="N19" s="17"/>
      <c r="O19" s="14"/>
      <c r="P19" s="18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19"/>
  <sheetViews>
    <sheetView workbookViewId="0">
      <selection activeCell="A2" sqref="A2:C19"/>
    </sheetView>
  </sheetViews>
  <sheetFormatPr defaultRowHeight="15" x14ac:dyDescent="0.25"/>
  <cols>
    <col min="1" max="1" width="13.7109375" customWidth="1"/>
    <col min="2" max="2" width="11.28515625" customWidth="1"/>
    <col min="3" max="3" width="16" customWidth="1"/>
  </cols>
  <sheetData>
    <row r="2" spans="1:3" x14ac:dyDescent="0.25">
      <c r="A2" s="140" t="s">
        <v>9</v>
      </c>
      <c r="B2" s="140"/>
      <c r="C2" s="140"/>
    </row>
    <row r="3" spans="1:3" x14ac:dyDescent="0.25">
      <c r="A3" s="141" t="s">
        <v>10</v>
      </c>
      <c r="B3" s="142"/>
      <c r="C3" s="143"/>
    </row>
    <row r="4" spans="1:3" x14ac:dyDescent="0.25">
      <c r="A4" s="3" t="s">
        <v>11</v>
      </c>
      <c r="B4" s="3" t="s">
        <v>12</v>
      </c>
      <c r="C4" s="3" t="s">
        <v>13</v>
      </c>
    </row>
    <row r="5" spans="1:3" x14ac:dyDescent="0.25">
      <c r="A5" s="4" t="s">
        <v>14</v>
      </c>
      <c r="B5" s="5">
        <v>2761.94</v>
      </c>
      <c r="C5" s="6">
        <v>920.68</v>
      </c>
    </row>
    <row r="6" spans="1:3" x14ac:dyDescent="0.25">
      <c r="A6" s="3" t="s">
        <v>15</v>
      </c>
      <c r="B6" s="10">
        <v>2448.79</v>
      </c>
      <c r="C6" s="6">
        <v>699.65</v>
      </c>
    </row>
    <row r="7" spans="1:3" x14ac:dyDescent="0.25">
      <c r="A7" s="4" t="s">
        <v>16</v>
      </c>
      <c r="B7" s="5">
        <v>2444.81</v>
      </c>
      <c r="C7" s="6">
        <v>822.55</v>
      </c>
    </row>
    <row r="8" spans="1:3" x14ac:dyDescent="0.25">
      <c r="A8" s="4"/>
      <c r="B8" s="5"/>
      <c r="C8" s="6"/>
    </row>
    <row r="9" spans="1:3" x14ac:dyDescent="0.25">
      <c r="A9" s="3"/>
      <c r="B9" s="7"/>
      <c r="C9" s="3"/>
    </row>
    <row r="10" spans="1:3" x14ac:dyDescent="0.25">
      <c r="A10" s="2" t="s">
        <v>1</v>
      </c>
      <c r="B10" s="8">
        <f>SUM(B5:B9)</f>
        <v>7655.5399999999991</v>
      </c>
      <c r="C10" s="9">
        <f>SUM(C5:C9)</f>
        <v>2442.88</v>
      </c>
    </row>
    <row r="11" spans="1:3" x14ac:dyDescent="0.25">
      <c r="A11" s="3"/>
      <c r="B11" s="1"/>
      <c r="C11" s="3"/>
    </row>
    <row r="12" spans="1:3" x14ac:dyDescent="0.25">
      <c r="A12" s="3"/>
      <c r="B12" s="1"/>
      <c r="C12" s="3"/>
    </row>
    <row r="13" spans="1:3" hidden="1" x14ac:dyDescent="0.25">
      <c r="A13" s="3"/>
      <c r="B13" s="1"/>
      <c r="C13" s="3"/>
    </row>
    <row r="14" spans="1:3" hidden="1" x14ac:dyDescent="0.25">
      <c r="A14" s="3"/>
      <c r="B14" s="1"/>
      <c r="C14" s="3"/>
    </row>
    <row r="15" spans="1:3" hidden="1" x14ac:dyDescent="0.25">
      <c r="A15" s="3"/>
      <c r="B15" s="1"/>
      <c r="C15" s="3"/>
    </row>
    <row r="16" spans="1:3" hidden="1" x14ac:dyDescent="0.25">
      <c r="A16" s="3"/>
      <c r="B16" s="1"/>
      <c r="C16" s="3"/>
    </row>
    <row r="17" spans="1:3" hidden="1" x14ac:dyDescent="0.25">
      <c r="A17" s="3"/>
      <c r="B17" s="1"/>
      <c r="C17" s="3"/>
    </row>
    <row r="18" spans="1:3" hidden="1" x14ac:dyDescent="0.25">
      <c r="A18" s="1"/>
      <c r="B18" s="1"/>
      <c r="C18" s="1"/>
    </row>
    <row r="19" spans="1:3" x14ac:dyDescent="0.25">
      <c r="A19" s="1"/>
      <c r="B19" s="1"/>
      <c r="C19" s="1"/>
    </row>
  </sheetData>
  <mergeCells count="2">
    <mergeCell ref="A2:C2"/>
    <mergeCell ref="A3:C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COMPOSIÇÃO BDI</vt:lpstr>
      <vt:lpstr>DADOS</vt:lpstr>
      <vt:lpstr>Quantitativos ruas 11,12 e 13</vt:lpstr>
      <vt:lpstr>'COMPOSIÇÃO BDI'!Area_de_impressao</vt:lpstr>
      <vt:lpstr>'COMPOSIÇÃO BDI'!Titulos_de_impressao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Valmir Filho</dc:creator>
  <cp:lastModifiedBy>Matheus Ravelli dos Reis Freitas</cp:lastModifiedBy>
  <cp:lastPrinted>2022-08-23T18:31:35Z</cp:lastPrinted>
  <dcterms:created xsi:type="dcterms:W3CDTF">2018-06-14T14:41:47Z</dcterms:created>
  <dcterms:modified xsi:type="dcterms:W3CDTF">2022-12-15T12:26:07Z</dcterms:modified>
</cp:coreProperties>
</file>