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ardo.pereira\Documents\4 GRA - USA\TR - Vigilancia 2021\TR E EDITAL VIGILÂNCIA ARMADA\E-codevasf - peças\"/>
    </mc:Choice>
  </mc:AlternateContent>
  <xr:revisionPtr revIDLastSave="0" documentId="13_ncr:1_{258F9B98-9261-463D-BABD-DDE2D2801724}" xr6:coauthVersionLast="47" xr6:coauthVersionMax="47" xr10:uidLastSave="{00000000-0000-0000-0000-000000000000}"/>
  <bookViews>
    <workbookView xWindow="-120" yWindow="-120" windowWidth="29040" windowHeight="15840" tabRatio="894" xr2:uid="{00000000-000D-0000-FFFF-FFFF00000000}"/>
  </bookViews>
  <sheets>
    <sheet name="Vigilante - PORTARIA" sheetId="188" r:id="rId1"/>
    <sheet name="Vigilante Diurno " sheetId="177" r:id="rId2"/>
    <sheet name="Vigilante Noturno - Motoriz" sheetId="189" r:id="rId3"/>
    <sheet name="Vigilante Noturno" sheetId="181" r:id="rId4"/>
    <sheet name="Uniformes" sheetId="149" r:id="rId5"/>
    <sheet name="Equip. Vigilância" sheetId="179" r:id="rId6"/>
    <sheet name="Resumo de Custos" sheetId="158" r:id="rId7"/>
    <sheet name="Dados - Não mexer" sheetId="178" state="hidden" r:id="rId8"/>
  </sheets>
  <definedNames>
    <definedName name="_xlnm._FilterDatabase" localSheetId="6" hidden="1">'Resumo de Custos'!$A$5:$H$12</definedName>
    <definedName name="_xlnm.Print_Area" localSheetId="0">'Vigilante - PORTARIA'!$A$1:$D$95</definedName>
    <definedName name="_xlnm.Print_Area" localSheetId="1">'Vigilante Diurno '!$A$1:$D$93</definedName>
    <definedName name="_xlnm.Print_Area" localSheetId="3">'Vigilante Noturno'!$A$1:$D$95</definedName>
    <definedName name="_xlnm.Print_Area" localSheetId="2">'Vigilante Noturno - Motoriz'!$A$1:$D$98</definedName>
    <definedName name="asdf">#REF!</definedName>
    <definedName name="asdff">#REF!</definedName>
    <definedName name="asdfff">#REF!</definedName>
    <definedName name="ISS" localSheetId="4">#REF!</definedName>
    <definedName name="ISS" localSheetId="3">#REF!</definedName>
    <definedName name="ISS" localSheetId="2">#REF!</definedName>
    <definedName name="ISS">#REF!</definedName>
    <definedName name="Lista1">'Dados - Não mexer'!$A$2:$A$4</definedName>
    <definedName name="Serviços">'Dados - Não mexer'!$A:$A</definedName>
    <definedName name="UniformeMensageiro" localSheetId="5">#REF!</definedName>
    <definedName name="UniformeMensageiro" localSheetId="4">Uniformes!#REF!</definedName>
    <definedName name="UniformeMensageiro" localSheetId="3">#REF!</definedName>
    <definedName name="UniformeMensageiro" localSheetId="2">#REF!</definedName>
    <definedName name="UniformeMensageiro">#REF!</definedName>
    <definedName name="UniformeMensageiros" localSheetId="5">#REF!</definedName>
    <definedName name="UniformeMensageiros" localSheetId="4">Uniformes!#REF!</definedName>
    <definedName name="UniformeMensageiros" localSheetId="3">#REF!</definedName>
    <definedName name="UniformeMensageiros" localSheetId="2">#REF!</definedName>
    <definedName name="UniformeMensageiros">#REF!</definedName>
    <definedName name="UniformeRecepcionista" localSheetId="5">#REF!</definedName>
    <definedName name="UniformeRecepcionista" localSheetId="4">#REF!</definedName>
    <definedName name="UniformeRecepcionista" localSheetId="3">#REF!</definedName>
    <definedName name="UniformeRecepcionista" localSheetId="2">#REF!</definedName>
    <definedName name="UniformeRecepcionist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58" l="1"/>
  <c r="H9" i="158"/>
  <c r="H11" i="158"/>
  <c r="H8" i="158"/>
  <c r="F17" i="149"/>
  <c r="G17" i="149" s="1"/>
  <c r="C93" i="189"/>
  <c r="C87" i="189"/>
  <c r="D79" i="189"/>
  <c r="D69" i="189"/>
  <c r="D70" i="189" s="1"/>
  <c r="D68" i="189"/>
  <c r="C56" i="189"/>
  <c r="C48" i="189"/>
  <c r="C57" i="189" s="1"/>
  <c r="C47" i="189"/>
  <c r="C46" i="189"/>
  <c r="C45" i="189"/>
  <c r="C44" i="189"/>
  <c r="C41" i="189"/>
  <c r="C40" i="189"/>
  <c r="C49" i="189" s="1"/>
  <c r="C39" i="189"/>
  <c r="C38" i="189"/>
  <c r="C37" i="189"/>
  <c r="C36" i="189"/>
  <c r="C35" i="189"/>
  <c r="C34" i="189"/>
  <c r="C32" i="189"/>
  <c r="A17" i="189"/>
  <c r="A16" i="189"/>
  <c r="C15" i="189"/>
  <c r="D15" i="189" s="1"/>
  <c r="D20" i="189" s="1"/>
  <c r="B15" i="189"/>
  <c r="A15" i="189"/>
  <c r="B14" i="189"/>
  <c r="A14" i="189"/>
  <c r="A11" i="189"/>
  <c r="D72" i="189" l="1"/>
  <c r="C42" i="189"/>
  <c r="C52" i="189" s="1"/>
  <c r="C53" i="189" s="1"/>
  <c r="C50" i="189"/>
  <c r="D29" i="189"/>
  <c r="D25" i="189"/>
  <c r="D41" i="189"/>
  <c r="D57" i="189"/>
  <c r="D49" i="189"/>
  <c r="D47" i="189"/>
  <c r="D45" i="189"/>
  <c r="D40" i="189"/>
  <c r="D38" i="189"/>
  <c r="D36" i="189"/>
  <c r="D34" i="189"/>
  <c r="D31" i="189"/>
  <c r="D28" i="189"/>
  <c r="D24" i="189"/>
  <c r="D56" i="189"/>
  <c r="D48" i="189"/>
  <c r="D46" i="189"/>
  <c r="D39" i="189"/>
  <c r="D35" i="189"/>
  <c r="D26" i="189"/>
  <c r="D27" i="189"/>
  <c r="D44" i="189"/>
  <c r="D37" i="189"/>
  <c r="D30" i="189"/>
  <c r="C60" i="189"/>
  <c r="C61" i="189" s="1"/>
  <c r="C55" i="189"/>
  <c r="C58" i="189" s="1"/>
  <c r="D42" i="189" l="1"/>
  <c r="D50" i="189"/>
  <c r="C62" i="189"/>
  <c r="D60" i="189"/>
  <c r="D61" i="189" s="1"/>
  <c r="D52" i="189"/>
  <c r="D53" i="189" s="1"/>
  <c r="D55" i="189"/>
  <c r="D58" i="189" s="1"/>
  <c r="D32" i="189"/>
  <c r="D62" i="189" l="1"/>
  <c r="D64" i="189" s="1"/>
  <c r="D67" i="181" l="1"/>
  <c r="D66" i="181"/>
  <c r="D70" i="181" s="1"/>
  <c r="D67" i="188" l="1"/>
  <c r="D68" i="188"/>
  <c r="C90" i="188" l="1"/>
  <c r="C84" i="188"/>
  <c r="D69" i="188"/>
  <c r="D71" i="188"/>
  <c r="C47" i="188"/>
  <c r="C56" i="188" s="1"/>
  <c r="C46" i="188"/>
  <c r="C45" i="188"/>
  <c r="C44" i="188"/>
  <c r="C43" i="188"/>
  <c r="C54" i="188" s="1"/>
  <c r="C40" i="188"/>
  <c r="C39" i="188"/>
  <c r="C48" i="188" s="1"/>
  <c r="C38" i="188"/>
  <c r="C37" i="188"/>
  <c r="C55" i="188" s="1"/>
  <c r="C36" i="188"/>
  <c r="C35" i="188"/>
  <c r="C34" i="188"/>
  <c r="C33" i="188"/>
  <c r="C31" i="188"/>
  <c r="C59" i="188" s="1"/>
  <c r="C60" i="188" s="1"/>
  <c r="D17" i="188"/>
  <c r="A17" i="188"/>
  <c r="D16" i="188"/>
  <c r="A16" i="188"/>
  <c r="C15" i="188"/>
  <c r="D15" i="188" s="1"/>
  <c r="B15" i="188"/>
  <c r="A15" i="188"/>
  <c r="D14" i="188"/>
  <c r="B14" i="188"/>
  <c r="A14" i="188"/>
  <c r="A11" i="188"/>
  <c r="D66" i="177"/>
  <c r="D65" i="177"/>
  <c r="D69" i="177" s="1"/>
  <c r="C41" i="188" l="1"/>
  <c r="C57" i="188"/>
  <c r="D19" i="188"/>
  <c r="C49" i="188"/>
  <c r="C51" i="188"/>
  <c r="C52" i="188" s="1"/>
  <c r="C61" i="188" l="1"/>
  <c r="D26" i="188"/>
  <c r="D76" i="188"/>
  <c r="D28" i="188"/>
  <c r="D24" i="188"/>
  <c r="D59" i="188"/>
  <c r="D60" i="188" s="1"/>
  <c r="D54" i="188"/>
  <c r="D51" i="188"/>
  <c r="D52" i="188" s="1"/>
  <c r="D46" i="188"/>
  <c r="D33" i="188"/>
  <c r="D27" i="188"/>
  <c r="D23" i="188"/>
  <c r="D55" i="188"/>
  <c r="D47" i="188"/>
  <c r="D45" i="188"/>
  <c r="D43" i="188"/>
  <c r="D40" i="188"/>
  <c r="D38" i="188"/>
  <c r="D36" i="188"/>
  <c r="D34" i="188"/>
  <c r="D29" i="188"/>
  <c r="D25" i="188"/>
  <c r="D56" i="188"/>
  <c r="D48" i="188"/>
  <c r="D44" i="188"/>
  <c r="D39" i="188"/>
  <c r="D37" i="188"/>
  <c r="D35" i="188"/>
  <c r="D30" i="188"/>
  <c r="D49" i="188" l="1"/>
  <c r="D31" i="188"/>
  <c r="D57" i="188"/>
  <c r="D41" i="188"/>
  <c r="D68" i="181"/>
  <c r="D67" i="177"/>
  <c r="D61" i="188" l="1"/>
  <c r="D63" i="188" s="1"/>
  <c r="C90" i="181" l="1"/>
  <c r="C84" i="181"/>
  <c r="C46" i="181"/>
  <c r="C55" i="181" s="1"/>
  <c r="C45" i="181"/>
  <c r="C44" i="181"/>
  <c r="C43" i="181"/>
  <c r="C42" i="181"/>
  <c r="C53" i="181" s="1"/>
  <c r="C39" i="181"/>
  <c r="C38" i="181"/>
  <c r="C47" i="181" s="1"/>
  <c r="C37" i="181"/>
  <c r="C36" i="181"/>
  <c r="C54" i="181" s="1"/>
  <c r="C35" i="181"/>
  <c r="C34" i="181"/>
  <c r="C33" i="181"/>
  <c r="C32" i="181"/>
  <c r="C30" i="181"/>
  <c r="A15" i="181"/>
  <c r="A14" i="181"/>
  <c r="C13" i="181"/>
  <c r="D13" i="181" s="1"/>
  <c r="B13" i="181"/>
  <c r="A13" i="181"/>
  <c r="B12" i="181"/>
  <c r="A12" i="181"/>
  <c r="A9" i="181"/>
  <c r="D18" i="181" l="1"/>
  <c r="D76" i="181" s="1"/>
  <c r="C40" i="181"/>
  <c r="C50" i="181" s="1"/>
  <c r="C51" i="181" s="1"/>
  <c r="C48" i="181"/>
  <c r="C56" i="181"/>
  <c r="C58" i="181"/>
  <c r="C59" i="181" s="1"/>
  <c r="D15" i="177"/>
  <c r="D14" i="177"/>
  <c r="D33" i="181" l="1"/>
  <c r="D50" i="181"/>
  <c r="D34" i="181"/>
  <c r="D46" i="181"/>
  <c r="D47" i="181"/>
  <c r="D42" i="181"/>
  <c r="D43" i="181"/>
  <c r="D35" i="181"/>
  <c r="D44" i="181"/>
  <c r="D36" i="181"/>
  <c r="D45" i="181"/>
  <c r="D37" i="181"/>
  <c r="D38" i="181"/>
  <c r="D39" i="181"/>
  <c r="D32" i="181"/>
  <c r="D58" i="181"/>
  <c r="D59" i="181" s="1"/>
  <c r="D22" i="181"/>
  <c r="D25" i="181"/>
  <c r="D29" i="181"/>
  <c r="D27" i="181"/>
  <c r="D54" i="181"/>
  <c r="D24" i="181"/>
  <c r="D26" i="181"/>
  <c r="D23" i="181"/>
  <c r="D55" i="181"/>
  <c r="D53" i="181"/>
  <c r="D28" i="181"/>
  <c r="C60" i="181"/>
  <c r="D12" i="177"/>
  <c r="D30" i="181" l="1"/>
  <c r="D56" i="181"/>
  <c r="D51" i="181"/>
  <c r="D40" i="181" l="1"/>
  <c r="D48" i="181"/>
  <c r="C45" i="177"/>
  <c r="D60" i="181" l="1"/>
  <c r="D62" i="181" s="1"/>
  <c r="C37" i="177"/>
  <c r="C46" i="177" s="1"/>
  <c r="C42" i="177" l="1"/>
  <c r="C38" i="177"/>
  <c r="C36" i="177"/>
  <c r="C33" i="177"/>
  <c r="C35" i="177"/>
  <c r="C34" i="177"/>
  <c r="C82" i="177" l="1"/>
  <c r="W19" i="179" l="1"/>
  <c r="W11" i="179"/>
  <c r="W10" i="179"/>
  <c r="W9" i="179"/>
  <c r="W8" i="179"/>
  <c r="W7" i="179"/>
  <c r="W6" i="179"/>
  <c r="A12" i="177" l="1"/>
  <c r="A9" i="177" l="1"/>
  <c r="X19" i="179"/>
  <c r="Y19" i="179" s="1"/>
  <c r="X11" i="179"/>
  <c r="Y11" i="179" s="1"/>
  <c r="X10" i="179"/>
  <c r="Y10" i="179" s="1"/>
  <c r="X9" i="179"/>
  <c r="Y9" i="179" s="1"/>
  <c r="X8" i="179"/>
  <c r="Y8" i="179" s="1"/>
  <c r="X7" i="179"/>
  <c r="Y7" i="179" s="1"/>
  <c r="X6" i="179"/>
  <c r="Y6" i="179" s="1"/>
  <c r="F16" i="149"/>
  <c r="G16" i="149" s="1"/>
  <c r="F15" i="149"/>
  <c r="G15" i="149" s="1"/>
  <c r="F14" i="149"/>
  <c r="G14" i="149" s="1"/>
  <c r="F13" i="149"/>
  <c r="G13" i="149" s="1"/>
  <c r="F12" i="149"/>
  <c r="G12" i="149" s="1"/>
  <c r="F11" i="149"/>
  <c r="G11" i="149" s="1"/>
  <c r="F10" i="149"/>
  <c r="G10" i="149" s="1"/>
  <c r="F9" i="149"/>
  <c r="C88" i="177"/>
  <c r="C54" i="177"/>
  <c r="C44" i="177"/>
  <c r="C43" i="177"/>
  <c r="C41" i="177"/>
  <c r="C52" i="177" s="1"/>
  <c r="C53" i="177"/>
  <c r="C32" i="177"/>
  <c r="C31" i="177"/>
  <c r="A15" i="177"/>
  <c r="A14" i="177"/>
  <c r="C13" i="177"/>
  <c r="D13" i="177" s="1"/>
  <c r="B13" i="177"/>
  <c r="A13" i="177"/>
  <c r="B12" i="177"/>
  <c r="G9" i="149" l="1"/>
  <c r="G18" i="149" s="1"/>
  <c r="F18" i="149"/>
  <c r="D17" i="177"/>
  <c r="Y20" i="179"/>
  <c r="C29" i="177"/>
  <c r="C39" i="177"/>
  <c r="C55" i="177"/>
  <c r="C47" i="177"/>
  <c r="D74" i="177" l="1"/>
  <c r="D45" i="177"/>
  <c r="D37" i="177"/>
  <c r="D46" i="177"/>
  <c r="D38" i="177"/>
  <c r="D41" i="177"/>
  <c r="D31" i="177"/>
  <c r="D32" i="177"/>
  <c r="D33" i="177"/>
  <c r="D42" i="177"/>
  <c r="D34" i="177"/>
  <c r="D43" i="177"/>
  <c r="D35" i="177"/>
  <c r="D44" i="177"/>
  <c r="D36" i="177"/>
  <c r="D25" i="177"/>
  <c r="D21" i="177"/>
  <c r="D22" i="177"/>
  <c r="D23" i="177"/>
  <c r="D24" i="177"/>
  <c r="C57" i="177"/>
  <c r="C58" i="177" s="1"/>
  <c r="Y12" i="179"/>
  <c r="Y14" i="179" s="1"/>
  <c r="C49" i="177"/>
  <c r="C50" i="177" s="1"/>
  <c r="D49" i="177" l="1"/>
  <c r="D57" i="177"/>
  <c r="D58" i="177" s="1"/>
  <c r="C59" i="177"/>
  <c r="Y13" i="179"/>
  <c r="Y15" i="179" s="1"/>
  <c r="D71" i="189" s="1"/>
  <c r="D76" i="189" s="1"/>
  <c r="D81" i="189" s="1"/>
  <c r="D26" i="177"/>
  <c r="D27" i="177"/>
  <c r="D28" i="177"/>
  <c r="D52" i="177"/>
  <c r="D54" i="177"/>
  <c r="D53" i="177"/>
  <c r="D86" i="189" l="1"/>
  <c r="D85" i="189"/>
  <c r="D70" i="188"/>
  <c r="D73" i="188" s="1"/>
  <c r="D78" i="188" s="1"/>
  <c r="D69" i="181"/>
  <c r="D68" i="177"/>
  <c r="D71" i="177" s="1"/>
  <c r="D50" i="177"/>
  <c r="D55" i="177"/>
  <c r="D29" i="177"/>
  <c r="D87" i="189" l="1"/>
  <c r="D82" i="188"/>
  <c r="D83" i="188"/>
  <c r="D73" i="181"/>
  <c r="D78" i="181" s="1"/>
  <c r="D39" i="177"/>
  <c r="D47" i="177"/>
  <c r="D84" i="188" l="1"/>
  <c r="D87" i="188" s="1"/>
  <c r="D91" i="189"/>
  <c r="D92" i="189"/>
  <c r="D90" i="189"/>
  <c r="D82" i="181"/>
  <c r="D83" i="181"/>
  <c r="D59" i="177"/>
  <c r="D93" i="189" l="1"/>
  <c r="D95" i="189" s="1"/>
  <c r="D88" i="188"/>
  <c r="D89" i="188"/>
  <c r="D84" i="181"/>
  <c r="D87" i="181" s="1"/>
  <c r="D61" i="177"/>
  <c r="D76" i="177" s="1"/>
  <c r="D81" i="177" s="1"/>
  <c r="D97" i="189" l="1"/>
  <c r="D98" i="189" s="1"/>
  <c r="D10" i="158"/>
  <c r="G10" i="158" s="1"/>
  <c r="D90" i="188"/>
  <c r="D92" i="188" s="1"/>
  <c r="D88" i="181"/>
  <c r="D89" i="181"/>
  <c r="D80" i="177"/>
  <c r="D82" i="177" s="1"/>
  <c r="D85" i="177" s="1"/>
  <c r="H10" i="158" l="1"/>
  <c r="H12" i="158" s="1"/>
  <c r="D94" i="188"/>
  <c r="D95" i="188" s="1"/>
  <c r="D11" i="158"/>
  <c r="G11" i="158" s="1"/>
  <c r="D90" i="181"/>
  <c r="D92" i="181" s="1"/>
  <c r="D86" i="177"/>
  <c r="D87" i="177"/>
  <c r="D9" i="158" l="1"/>
  <c r="G9" i="158" s="1"/>
  <c r="D94" i="181"/>
  <c r="D95" i="181" s="1"/>
  <c r="D88" i="177"/>
  <c r="D90" i="177" s="1"/>
  <c r="D8" i="158" s="1"/>
  <c r="G8" i="158" s="1"/>
  <c r="D92" i="177" l="1"/>
  <c r="D93" i="17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11" authorId="0" shapeId="0" xr:uid="{013BEDEF-9D02-44B4-B150-EA3E24145546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3" authorId="0" shapeId="0" xr:uid="{FCDDAEAB-3341-4D45-8CAE-70A580BF95BB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4" authorId="0" shapeId="0" xr:uid="{010DA9A2-20E9-4996-A816-ADF5556BB67F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6" authorId="0" shapeId="0" xr:uid="{01CC5F13-0EBA-4BC0-B9A6-FDF712BFE86F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7" authorId="0" shapeId="0" xr:uid="{8FAA6B3F-7E4F-410F-9392-1085C43C3D63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8" authorId="0" shapeId="0" xr:uid="{B54EABE6-BB0F-4854-8EF9-CA4041578A01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9" authorId="0" shapeId="0" xr:uid="{BBBB98E8-B146-43BC-91F0-123BD650F3F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70" authorId="0" shapeId="0" xr:uid="{2D518924-7097-4B32-8556-B3172DFEB4E1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1" authorId="0" shapeId="0" xr:uid="{151D8703-952D-45AA-A6CB-9BF4717E7BC4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9" authorId="0" shapeId="0" xr:uid="{00000000-0006-0000-0000-000001000000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1" authorId="0" shapeId="0" xr:uid="{00000000-0006-0000-0000-000002000000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2" authorId="0" shapeId="0" xr:uid="{00000000-0006-0000-0000-000003000000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4" authorId="0" shapeId="0" xr:uid="{00000000-0006-0000-0000-000004000000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5" authorId="0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6" authorId="0" shapeId="0" xr:uid="{00000000-0006-0000-0000-000006000000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7" authorId="0" shapeId="0" xr:uid="{00000000-0006-0000-0000-00000700000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68" authorId="0" shapeId="0" xr:uid="{00000000-0006-0000-0000-000008000000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69" authorId="0" shapeId="0" xr:uid="{00000000-0006-0000-0000-000009000000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11" authorId="0" shapeId="0" xr:uid="{29F22CB7-2FF1-4611-9D59-6E0D4AEE48BF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3" authorId="0" shapeId="0" xr:uid="{1C5C3BE1-267E-4353-B067-451ACB1EEA41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4" authorId="0" shapeId="0" xr:uid="{531BD5E0-308A-4094-AAFE-328B667D5004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7" authorId="0" shapeId="0" xr:uid="{EF84E4A2-3719-43F4-9F5E-9028F95D8243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8" authorId="0" shapeId="0" xr:uid="{F7E87329-2EEB-45A9-B7C5-B088594FCE2E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9" authorId="0" shapeId="0" xr:uid="{A76092B4-FC48-4D3F-B308-C32253B74DE5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70" authorId="0" shapeId="0" xr:uid="{9EBB2B62-90E2-43F0-9E59-374966006083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71" authorId="0" shapeId="0" xr:uid="{09CEA37C-0939-409E-89B3-01B225605B13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2" authorId="0" shapeId="0" xr:uid="{72FB5C77-0D3F-4C77-8704-6F48B3C70A2B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  <comment ref="A90" authorId="0" shapeId="0" xr:uid="{A8C3BB93-2CA5-4C7D-B619-0F9A097F616F}">
      <text>
        <r>
          <rPr>
            <sz val="9"/>
            <color indexed="81"/>
            <rFont val="Segoe UI"/>
            <family val="2"/>
          </rPr>
          <t>Verificar a alíquota específica no município da contratação.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9" authorId="0" shapeId="0" xr:uid="{00000000-0006-0000-0100-000001000000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1" authorId="0" shapeId="0" xr:uid="{00000000-0006-0000-0100-000002000000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2" authorId="0" shapeId="0" xr:uid="{00000000-0006-0000-0100-000003000000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5" authorId="0" shapeId="0" xr:uid="{00000000-0006-0000-0100-000004000000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6" authorId="0" shapeId="0" xr:uid="{00000000-0006-0000-0100-000005000000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7" authorId="0" shapeId="0" xr:uid="{00000000-0006-0000-0100-000006000000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8" authorId="0" shapeId="0" xr:uid="{00000000-0006-0000-0100-00000700000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69" authorId="0" shapeId="0" xr:uid="{00000000-0006-0000-0100-000008000000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0" authorId="0" shapeId="0" xr:uid="{00000000-0006-0000-0100-000009000000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  <comment ref="A87" authorId="0" shapeId="0" xr:uid="{00000000-0006-0000-0100-00000A000000}">
      <text>
        <r>
          <rPr>
            <sz val="9"/>
            <color indexed="81"/>
            <rFont val="Segoe UI"/>
            <family val="2"/>
          </rPr>
          <t>Verificar a alíquota específica no município da contratação.</t>
        </r>
      </text>
    </comment>
  </commentList>
</comments>
</file>

<file path=xl/sharedStrings.xml><?xml version="1.0" encoding="utf-8"?>
<sst xmlns="http://schemas.openxmlformats.org/spreadsheetml/2006/main" count="446" uniqueCount="182">
  <si>
    <t>COFINS</t>
  </si>
  <si>
    <t>PIS</t>
  </si>
  <si>
    <t>GRUPO C</t>
  </si>
  <si>
    <t xml:space="preserve">TOTAL - GRUPO C </t>
  </si>
  <si>
    <t>GRUPO D</t>
  </si>
  <si>
    <t>TOTAL - GRUPO D</t>
  </si>
  <si>
    <t>GRUPO E</t>
  </si>
  <si>
    <t>GRUPO F</t>
  </si>
  <si>
    <t>TOTAL - GRUPO B</t>
  </si>
  <si>
    <t xml:space="preserve">TOTAL - GRUPO E </t>
  </si>
  <si>
    <t>TOTAL - GRUPO F</t>
  </si>
  <si>
    <t>Uniforme</t>
  </si>
  <si>
    <t>Despesas Administrativas/Operacionais</t>
  </si>
  <si>
    <t>A.02 FGTS</t>
  </si>
  <si>
    <t>A.03 SESI/SESC</t>
  </si>
  <si>
    <t>A.04 SENAI/SENAC</t>
  </si>
  <si>
    <t>A.05 INCRA</t>
  </si>
  <si>
    <t>A.06 SEBRAE</t>
  </si>
  <si>
    <t>A.07 Salário Educação</t>
  </si>
  <si>
    <t>A.08 Riscos Ambientais do Trabalho – RAT x FAP</t>
  </si>
  <si>
    <t>B.01 13º Salário</t>
  </si>
  <si>
    <t>B.03 Aviso Prévio Trabalhado</t>
  </si>
  <si>
    <t>B.04 Auxílio Doença</t>
  </si>
  <si>
    <t>B.05 Acidente de Trabalho</t>
  </si>
  <si>
    <t>B.06 Faltas Legais</t>
  </si>
  <si>
    <t>B.07 Férias sobre Licença Maternidade</t>
  </si>
  <si>
    <t>B.08 Licença Paternidade</t>
  </si>
  <si>
    <t>C.01 Aviso Prévio Indenizado</t>
  </si>
  <si>
    <t>C.02 Indenização Adicional</t>
  </si>
  <si>
    <t>D.01 Incidência dos encargos do grupo A sobre o grupo B</t>
  </si>
  <si>
    <t xml:space="preserve">F.01 Incidência dos encargos do Grupo A sobre os valores constantes da base de cálculo referente ao salário maternidade </t>
  </si>
  <si>
    <t>Diurno</t>
  </si>
  <si>
    <t xml:space="preserve">Auxílio alimentação </t>
  </si>
  <si>
    <t>C.03 Indenização (rescisão sem justa causa – multa de 40% do FGTS)</t>
  </si>
  <si>
    <t>C.04 Indenização (rescisão sem justa causa – contribuição de 10% do FGTS)</t>
  </si>
  <si>
    <t>Descrição</t>
  </si>
  <si>
    <t>Item</t>
  </si>
  <si>
    <t>Peça</t>
  </si>
  <si>
    <t>Lucro</t>
  </si>
  <si>
    <t>TOTAL - LUCRO E DESPESAS INDIRETAS</t>
  </si>
  <si>
    <t>Serviços</t>
  </si>
  <si>
    <t xml:space="preserve">Turno </t>
  </si>
  <si>
    <t>TOTAL DA REMUNERAÇÃO (R$)</t>
  </si>
  <si>
    <t>VALOR TOTAL DE REMUNERAÇÃO + ENCARGOS SOCIAIS (R$)</t>
  </si>
  <si>
    <t>TOTAL - ENCARGOS SOCIAIS (R$)</t>
  </si>
  <si>
    <t>TOTAL - INSUMOS (R$)</t>
  </si>
  <si>
    <t>RESUMO DE CUSTOS</t>
  </si>
  <si>
    <t>UNIFORMES</t>
  </si>
  <si>
    <t>Valor Médio Unitário (R$)</t>
  </si>
  <si>
    <t>Unid.</t>
  </si>
  <si>
    <t>Unidade</t>
  </si>
  <si>
    <t xml:space="preserve">Calça </t>
  </si>
  <si>
    <t>TOTAL - TRIBUTAÇÃO SOBRE FATURAMENTO</t>
  </si>
  <si>
    <t>ISS</t>
  </si>
  <si>
    <t>MÃO DE OBRA</t>
  </si>
  <si>
    <t>12x36 h</t>
  </si>
  <si>
    <t>Noturno</t>
  </si>
  <si>
    <t>I - COMPOSIÇÃO DA REMUNERAÇÃO (R$)</t>
  </si>
  <si>
    <t>Outros Adicionais</t>
  </si>
  <si>
    <t>II - ENCARGOS SOCIAIS INCIDENTES SOBRE A REMUNERAÇÃO (R$)</t>
  </si>
  <si>
    <t>GRUPO A - ENCARGOS</t>
  </si>
  <si>
    <t>TOTAL - GRUPO A - ENCARGOS</t>
  </si>
  <si>
    <t>B.02 Férias (sem o abono de 1/3)</t>
  </si>
  <si>
    <t>C.05 Abono de Férias - 1/3 constitucional</t>
  </si>
  <si>
    <t>C.06 Abono de Férias - 1/3 constitucional sobre licença maternidade</t>
  </si>
  <si>
    <t>E.01 Incidência do FGTS sobre o aviso prévio indenizado</t>
  </si>
  <si>
    <t>E.02 Incidência do FGTS sobre o período médio de afastamento superior a 15 dias motivado por acidente do trabalho</t>
  </si>
  <si>
    <t>LUCRO E DESPESAS INDIRETAS (LDI)</t>
  </si>
  <si>
    <t>TRIBUTAÇÃO SOBRE FATURAMENTO</t>
  </si>
  <si>
    <t>44 h</t>
  </si>
  <si>
    <t>20 h</t>
  </si>
  <si>
    <t xml:space="preserve">Camisa </t>
  </si>
  <si>
    <t>Crachá</t>
  </si>
  <si>
    <t xml:space="preserve">Meias </t>
  </si>
  <si>
    <t>Capa de chuva</t>
  </si>
  <si>
    <t>Total Manutenção + Depreciação Mensal (R$)</t>
  </si>
  <si>
    <t>Manutenção Mensal (R$)</t>
  </si>
  <si>
    <t>Depreciação Mensal (R$)</t>
  </si>
  <si>
    <t>Custo Total dos Equipamentos (R$)</t>
  </si>
  <si>
    <t>Revólver calibre 38</t>
  </si>
  <si>
    <t>Baleiro</t>
  </si>
  <si>
    <t>Livro de ocorrências</t>
  </si>
  <si>
    <t>MUNIÇÃO</t>
  </si>
  <si>
    <t>Blister c/10</t>
  </si>
  <si>
    <t>Munição calibre 38</t>
  </si>
  <si>
    <t>Total Munição (R$)</t>
  </si>
  <si>
    <t>Jornada</t>
  </si>
  <si>
    <t>Turno</t>
  </si>
  <si>
    <t>GRUPO B</t>
  </si>
  <si>
    <t>PLANILHA DE CUSTOS E FORMAÇÃO DE PREÇOS</t>
  </si>
  <si>
    <t>Adicional de Insalubridade</t>
  </si>
  <si>
    <t>A.01 SEGURIDADE SOCIAL</t>
  </si>
  <si>
    <t>De couro, constituído de uma face na cor preta, sem costura, fivela em metal, com garra regulável.</t>
  </si>
  <si>
    <t>Plástica, cor preta com faixas fluorescentes.</t>
  </si>
  <si>
    <t>Valor médio unitário (R$)</t>
  </si>
  <si>
    <t>Qtde. mensal/ vigilante</t>
  </si>
  <si>
    <t>Total mensal/ vigilante (R$)</t>
  </si>
  <si>
    <t>Valor médio/ blister (R$)</t>
  </si>
  <si>
    <t>Salário base</t>
  </si>
  <si>
    <t>Vale transporte</t>
  </si>
  <si>
    <t>Manutenção e depreciação de equipamentos</t>
  </si>
  <si>
    <t>PREÇO MENSAL POR POSTO (R$)</t>
  </si>
  <si>
    <t>PREÇO ANUAL POR POSTO (R$)</t>
  </si>
  <si>
    <t>TOTAL MÃO DE OBRA (R$)</t>
  </si>
  <si>
    <t>E.03 Incidência de FGTS sobre férias 1/3 constitucional</t>
  </si>
  <si>
    <t>Qtde. Anual</t>
  </si>
  <si>
    <t>Valor Anual/ Empregado (R$)</t>
  </si>
  <si>
    <t>Valor Mensal/ Empregado (R$)</t>
  </si>
  <si>
    <t>Empregados/ Posto</t>
  </si>
  <si>
    <t>Qtde. de Postos</t>
  </si>
  <si>
    <r>
      <t>Valor Mensal Total</t>
    </r>
    <r>
      <rPr>
        <b/>
        <sz val="11"/>
        <color indexed="8"/>
        <rFont val="Calibri"/>
        <family val="2"/>
        <scheme val="minor"/>
      </rPr>
      <t xml:space="preserve"> (R$)</t>
    </r>
  </si>
  <si>
    <r>
      <t>Valor Anual</t>
    </r>
    <r>
      <rPr>
        <b/>
        <sz val="11"/>
        <color indexed="8"/>
        <rFont val="Calibri"/>
        <family val="2"/>
        <scheme val="minor"/>
      </rPr>
      <t xml:space="preserve"> (R$)</t>
    </r>
  </si>
  <si>
    <t>PREÇO MENSAL PARA 1 (UM) EMPREGADO (R$)</t>
  </si>
  <si>
    <t>Quantidade de empregados no posto</t>
  </si>
  <si>
    <t>V - LDI E TRIBUTAÇÃO</t>
  </si>
  <si>
    <t>Valor total (R$)</t>
  </si>
  <si>
    <t>EQUIPAMENTOS DE VIGILÂNCIA ARMADA</t>
  </si>
  <si>
    <t>Vigilância Armada</t>
  </si>
  <si>
    <t>Qtde/vigilante</t>
  </si>
  <si>
    <t>Qtde/posto de 12x36h</t>
  </si>
  <si>
    <t>Qtde anual/ vigilante</t>
  </si>
  <si>
    <t xml:space="preserve">Colete Balístico nível mínimo de segurança II-A </t>
  </si>
  <si>
    <t>INTRAJORNADA</t>
  </si>
  <si>
    <t xml:space="preserve">TOTAL INTRAJORNADA </t>
  </si>
  <si>
    <t xml:space="preserve">TOTAL DE REMUNERAÇÃO + ENCARGOS SOCIAIS + INSUMOS + INTRAJORNADA </t>
  </si>
  <si>
    <t>TOTAL INTRAJORNADA</t>
  </si>
  <si>
    <t>TOTAL DE REMUNERAÇÃO + ENCARGOS SOCIAIS + INSUMOS + INTRAJORNADA</t>
  </si>
  <si>
    <t>Desert Coldres</t>
  </si>
  <si>
    <t>Grupo Pantanal</t>
  </si>
  <si>
    <t>Dema Armas</t>
  </si>
  <si>
    <t>Shop Tático</t>
  </si>
  <si>
    <t>Militar Brasil</t>
  </si>
  <si>
    <t>Comercial Nativa</t>
  </si>
  <si>
    <t>Safestore</t>
  </si>
  <si>
    <t>Az de Espadas</t>
  </si>
  <si>
    <t>Bonzao Arma e Pesca</t>
  </si>
  <si>
    <t>Pesca e Cia Shop</t>
  </si>
  <si>
    <t>Cinto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</si>
  <si>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</si>
  <si>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</si>
  <si>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</si>
  <si>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</si>
  <si>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</si>
  <si>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</si>
  <si>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</si>
  <si>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</si>
  <si>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</si>
  <si>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Coldre de couro </t>
  </si>
  <si>
    <t xml:space="preserve">Lanterna em Led, recarregável tamanho grande </t>
  </si>
  <si>
    <t>Calçado</t>
  </si>
  <si>
    <t>botina de segurança, solado baixo, vaqueta relax, poliuretano (pu) bi-densidade, hidrofugado, elástico nas laterais/recoberto, acolchoado, palmilha de couro antibacteriana, biqueira plástica, com certificado de aprovação do Ministério do Trabalho e Emprego, de boa qualidade.</t>
  </si>
  <si>
    <t>Boné</t>
  </si>
  <si>
    <t>confeccionado em tecido de brim, com logomarca da empresa, de boa qualidade.</t>
  </si>
  <si>
    <t>confeccionado em cartão de PVC</t>
  </si>
  <si>
    <t>Casa e Pesca</t>
  </si>
  <si>
    <t>Shopee</t>
  </si>
  <si>
    <t>Cardoso &amp; Cia Ltda</t>
  </si>
  <si>
    <t>Paulo Com e Papelaria</t>
  </si>
  <si>
    <t xml:space="preserve">Liliana Araujo Melo </t>
  </si>
  <si>
    <t>Comercial Aliança</t>
  </si>
  <si>
    <t>Shopping das Ferramentas</t>
  </si>
  <si>
    <t>Agrovel</t>
  </si>
  <si>
    <t>Desconto do auxilio alimentação (10%)</t>
  </si>
  <si>
    <t>Point Police</t>
  </si>
  <si>
    <r>
      <t xml:space="preserve">ITEM 1 - </t>
    </r>
    <r>
      <rPr>
        <i/>
        <u/>
        <sz val="11"/>
        <rFont val="Calibri"/>
        <family val="2"/>
        <scheme val="minor"/>
      </rPr>
      <t>PORTARIA DA SEDE DA SUPERINTENDÊNCIA REGIONAL</t>
    </r>
  </si>
  <si>
    <t>Caixa Assistêncial</t>
  </si>
  <si>
    <t>III - INSUMOS / BENEFICIOS</t>
  </si>
  <si>
    <t>TOTAL  (R$)</t>
  </si>
  <si>
    <t>DSR SOBRE ADIC. NOTURNO</t>
  </si>
  <si>
    <t>DSR SOBRE ADIC. H. NOTURNA REDUZIDA</t>
  </si>
  <si>
    <t xml:space="preserve">Prêmio pelo trabalho noturno </t>
  </si>
  <si>
    <r>
      <t xml:space="preserve">Desconto legal sobre transporte (máximo 6% do </t>
    </r>
    <r>
      <rPr>
        <b/>
        <sz val="11"/>
        <rFont val="Calibri"/>
        <family val="2"/>
        <scheme val="minor"/>
      </rPr>
      <t>salário-base</t>
    </r>
    <r>
      <rPr>
        <sz val="11"/>
        <rFont val="Calibri"/>
        <family val="2"/>
        <scheme val="minor"/>
      </rPr>
      <t>)</t>
    </r>
  </si>
  <si>
    <r>
      <t xml:space="preserve">ITEM 6 - </t>
    </r>
    <r>
      <rPr>
        <i/>
        <u/>
        <sz val="11"/>
        <rFont val="Calibri"/>
        <family val="2"/>
        <scheme val="minor"/>
      </rPr>
      <t>CENTRO DE RECURSOS PESQUEIROS E AQUICULTURA DE BETUME</t>
    </r>
  </si>
  <si>
    <t>Camisa social, mangas curtas, em gabardine com emblema da empresa pintado no lado superior esquerdo, de boa qualidade.</t>
  </si>
  <si>
    <t>Em oxford, barguilha com zíper e quatro bolsos embutidos, de boa qualidade.</t>
  </si>
  <si>
    <t>Capa de colete para placa balística, de boa qualidade.</t>
  </si>
  <si>
    <t xml:space="preserve">Capa </t>
  </si>
  <si>
    <t>Par de meia em algodão, tipo cano longo, de boa qualidade.</t>
  </si>
  <si>
    <t>Motocicleta c/ combustível</t>
  </si>
  <si>
    <t xml:space="preserve">OBRIGATÓRIO APRESENTAR CERTIFICADO DE APROVAÇÃO (CA) DO MIN. TRABALHO E EMPREGO DENTRO DA VALIDADE E MARCADO NO CORPO DO EQUIPAMENTO OU NA EMBALAGEM EXTERNA . 
</t>
  </si>
  <si>
    <t>Desconto legal sobre transporte (máximo 6% do salário-base)</t>
  </si>
  <si>
    <t>Vigilância Armada - Motoriz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</si>
</sst>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&quot;R$&quot;* #,##0.00_);_(&quot;R$&quot;* \(#,##0.00\);_(&quot;R$&quot;* &quot;-&quot;??_);_(@_)"/>
    <numFmt numFmtId="167" formatCode="0.000%"/>
    <numFmt numFmtId="168" formatCode="_(* #,##0.00_);_(* \(#,##0.00\);_(* \-??_);_(@_)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Arial"/>
      <family val="2"/>
    </font>
    <font>
      <sz val="9"/>
      <color theme="1"/>
      <name val="Times New Roman"/>
      <family val="1"/>
    </font>
    <font>
      <b/>
      <sz val="10"/>
      <color rgb="FFFFFF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u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9"/>
      <name val="Times New Roman"/>
      <family val="1"/>
    </font>
    <font>
      <sz val="9"/>
      <name val="Calibri"/>
      <family val="2"/>
      <scheme val="minor"/>
    </font>
    <font>
      <b/>
      <sz val="9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9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32" fillId="0" borderId="0"/>
    <xf numFmtId="0" fontId="32" fillId="0" borderId="0"/>
    <xf numFmtId="0" fontId="32" fillId="0" borderId="0"/>
    <xf numFmtId="0" fontId="19" fillId="17" borderId="2" applyNumberFormat="0" applyAlignment="0" applyProtection="0"/>
    <xf numFmtId="0" fontId="19" fillId="17" borderId="2" applyNumberFormat="0" applyAlignment="0" applyProtection="0"/>
    <xf numFmtId="0" fontId="19" fillId="17" borderId="2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2" fillId="0" borderId="0" applyFont="0" applyFill="0" applyBorder="0" applyAlignment="0" applyProtection="0"/>
    <xf numFmtId="44" fontId="12" fillId="0" borderId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5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40" fillId="0" borderId="0"/>
    <xf numFmtId="0" fontId="12" fillId="0" borderId="0"/>
    <xf numFmtId="0" fontId="12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8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164" fontId="1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11" fillId="0" borderId="0"/>
    <xf numFmtId="0" fontId="1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83">
    <xf numFmtId="0" fontId="0" fillId="0" borderId="0" xfId="0"/>
    <xf numFmtId="0" fontId="40" fillId="0" borderId="0" xfId="155"/>
    <xf numFmtId="0" fontId="42" fillId="0" borderId="0" xfId="155" applyFont="1"/>
    <xf numFmtId="9" fontId="40" fillId="0" borderId="0" xfId="155" applyNumberFormat="1"/>
    <xf numFmtId="0" fontId="46" fillId="0" borderId="0" xfId="157" applyFont="1" applyAlignment="1" applyProtection="1">
      <alignment horizontal="left" vertical="center" wrapText="1"/>
      <protection locked="0"/>
    </xf>
    <xf numFmtId="0" fontId="46" fillId="0" borderId="0" xfId="157" applyFont="1" applyBorder="1" applyAlignment="1" applyProtection="1">
      <alignment horizontal="center" vertical="center"/>
      <protection locked="0"/>
    </xf>
    <xf numFmtId="0" fontId="46" fillId="0" borderId="0" xfId="156" applyFont="1" applyAlignment="1" applyProtection="1">
      <alignment vertical="center"/>
      <protection locked="0"/>
    </xf>
    <xf numFmtId="0" fontId="46" fillId="0" borderId="0" xfId="156" applyFont="1" applyAlignment="1" applyProtection="1">
      <alignment vertical="center"/>
    </xf>
    <xf numFmtId="0" fontId="46" fillId="24" borderId="0" xfId="156" applyFont="1" applyFill="1" applyBorder="1" applyAlignment="1" applyProtection="1">
      <alignment horizontal="right" vertical="center"/>
    </xf>
    <xf numFmtId="0" fontId="45" fillId="29" borderId="0" xfId="156" applyFont="1" applyFill="1" applyBorder="1" applyAlignment="1" applyProtection="1">
      <alignment horizontal="right" vertical="center"/>
      <protection locked="0"/>
    </xf>
    <xf numFmtId="0" fontId="45" fillId="29" borderId="0" xfId="156" applyFont="1" applyFill="1" applyBorder="1" applyAlignment="1" applyProtection="1">
      <alignment horizontal="left" vertical="center"/>
      <protection locked="0"/>
    </xf>
    <xf numFmtId="0" fontId="45" fillId="29" borderId="0" xfId="156" applyFont="1" applyFill="1" applyBorder="1" applyAlignment="1" applyProtection="1">
      <alignment vertical="center"/>
      <protection locked="0"/>
    </xf>
    <xf numFmtId="0" fontId="46" fillId="0" borderId="0" xfId="156" applyFont="1" applyFill="1" applyAlignment="1" applyProtection="1">
      <alignment vertical="center"/>
      <protection locked="0"/>
    </xf>
    <xf numFmtId="0" fontId="46" fillId="0" borderId="0" xfId="156" applyFont="1" applyFill="1" applyAlignment="1" applyProtection="1">
      <alignment vertical="center"/>
    </xf>
    <xf numFmtId="0" fontId="46" fillId="0" borderId="0" xfId="156" applyFont="1" applyFill="1" applyAlignment="1" applyProtection="1">
      <alignment horizontal="left" vertical="center"/>
      <protection locked="0"/>
    </xf>
    <xf numFmtId="0" fontId="46" fillId="0" borderId="12" xfId="156" applyFont="1" applyFill="1" applyBorder="1" applyAlignment="1" applyProtection="1">
      <alignment horizontal="right" vertical="center" wrapText="1"/>
    </xf>
    <xf numFmtId="43" fontId="46" fillId="29" borderId="12" xfId="244" applyFont="1" applyFill="1" applyBorder="1" applyAlignment="1" applyProtection="1">
      <alignment vertical="center"/>
      <protection locked="0"/>
    </xf>
    <xf numFmtId="0" fontId="45" fillId="29" borderId="12" xfId="156" applyFont="1" applyFill="1" applyBorder="1" applyAlignment="1" applyProtection="1">
      <alignment vertical="center"/>
      <protection locked="0"/>
    </xf>
    <xf numFmtId="49" fontId="45" fillId="27" borderId="10" xfId="156" applyNumberFormat="1" applyFont="1" applyFill="1" applyBorder="1" applyAlignment="1" applyProtection="1">
      <alignment vertical="center"/>
    </xf>
    <xf numFmtId="0" fontId="46" fillId="24" borderId="0" xfId="156" applyFont="1" applyFill="1" applyBorder="1" applyAlignment="1" applyProtection="1">
      <alignment horizontal="left" vertical="center"/>
    </xf>
    <xf numFmtId="4" fontId="46" fillId="24" borderId="0" xfId="156" applyNumberFormat="1" applyFont="1" applyFill="1" applyBorder="1" applyAlignment="1" applyProtection="1">
      <alignment horizontal="right" vertical="center"/>
    </xf>
    <xf numFmtId="0" fontId="46" fillId="24" borderId="0" xfId="156" applyFont="1" applyFill="1" applyAlignment="1" applyProtection="1">
      <alignment horizontal="left" vertical="center"/>
    </xf>
    <xf numFmtId="0" fontId="46" fillId="24" borderId="0" xfId="156" applyFont="1" applyFill="1" applyBorder="1" applyAlignment="1" applyProtection="1">
      <alignment horizontal="right" vertical="center" wrapText="1"/>
    </xf>
    <xf numFmtId="9" fontId="46" fillId="29" borderId="0" xfId="179" applyFont="1" applyFill="1" applyBorder="1" applyAlignment="1" applyProtection="1">
      <alignment horizontal="right" vertical="center"/>
      <protection locked="0"/>
    </xf>
    <xf numFmtId="9" fontId="46" fillId="24" borderId="0" xfId="179" applyFont="1" applyFill="1" applyBorder="1" applyAlignment="1" applyProtection="1">
      <alignment horizontal="right" vertical="center"/>
    </xf>
    <xf numFmtId="0" fontId="46" fillId="24" borderId="0" xfId="156" applyFont="1" applyFill="1" applyAlignment="1" applyProtection="1">
      <alignment vertical="center"/>
    </xf>
    <xf numFmtId="0" fontId="44" fillId="24" borderId="0" xfId="169" applyFont="1" applyFill="1" applyBorder="1" applyAlignment="1" applyProtection="1">
      <alignment horizontal="left" vertical="center" wrapText="1"/>
    </xf>
    <xf numFmtId="4" fontId="44" fillId="24" borderId="0" xfId="169" applyNumberFormat="1" applyFont="1" applyFill="1" applyBorder="1" applyAlignment="1" applyProtection="1">
      <alignment horizontal="right" vertical="center" wrapText="1"/>
    </xf>
    <xf numFmtId="0" fontId="44" fillId="0" borderId="0" xfId="156" applyFont="1" applyAlignment="1" applyProtection="1">
      <alignment vertical="center"/>
      <protection locked="0"/>
    </xf>
    <xf numFmtId="0" fontId="44" fillId="0" borderId="0" xfId="156" applyFont="1" applyAlignment="1" applyProtection="1">
      <alignment vertical="center"/>
    </xf>
    <xf numFmtId="4" fontId="45" fillId="27" borderId="10" xfId="156" applyNumberFormat="1" applyFont="1" applyFill="1" applyBorder="1" applyAlignment="1" applyProtection="1">
      <alignment horizontal="right" vertical="center"/>
    </xf>
    <xf numFmtId="0" fontId="45" fillId="24" borderId="10" xfId="156" applyFont="1" applyFill="1" applyBorder="1" applyAlignment="1" applyProtection="1">
      <alignment vertical="center" wrapText="1"/>
    </xf>
    <xf numFmtId="167" fontId="49" fillId="24" borderId="10" xfId="156" applyNumberFormat="1" applyFont="1" applyFill="1" applyBorder="1" applyAlignment="1" applyProtection="1">
      <alignment horizontal="right" vertical="center"/>
    </xf>
    <xf numFmtId="10" fontId="45" fillId="24" borderId="10" xfId="179" applyNumberFormat="1" applyFont="1" applyFill="1" applyBorder="1" applyAlignment="1" applyProtection="1">
      <alignment vertical="center"/>
    </xf>
    <xf numFmtId="0" fontId="45" fillId="0" borderId="10" xfId="156" applyFont="1" applyFill="1" applyBorder="1" applyAlignment="1" applyProtection="1">
      <alignment horizontal="left" vertical="center" wrapText="1"/>
    </xf>
    <xf numFmtId="0" fontId="45" fillId="0" borderId="10" xfId="156" applyFont="1" applyFill="1" applyBorder="1" applyAlignment="1" applyProtection="1">
      <alignment vertical="center"/>
    </xf>
    <xf numFmtId="0" fontId="46" fillId="24" borderId="0" xfId="156" applyFont="1" applyFill="1" applyBorder="1" applyAlignment="1" applyProtection="1">
      <alignment vertical="center" wrapText="1"/>
    </xf>
    <xf numFmtId="167" fontId="46" fillId="24" borderId="0" xfId="175" applyNumberFormat="1" applyFont="1" applyFill="1" applyBorder="1" applyAlignment="1" applyProtection="1">
      <alignment horizontal="right" vertical="center"/>
    </xf>
    <xf numFmtId="0" fontId="46" fillId="0" borderId="0" xfId="156" applyFont="1" applyAlignment="1" applyProtection="1">
      <alignment horizontal="left" vertical="center"/>
    </xf>
    <xf numFmtId="0" fontId="46" fillId="24" borderId="10" xfId="156" applyFont="1" applyFill="1" applyBorder="1" applyAlignment="1" applyProtection="1">
      <alignment vertical="center"/>
    </xf>
    <xf numFmtId="167" fontId="45" fillId="24" borderId="10" xfId="156" applyNumberFormat="1" applyFont="1" applyFill="1" applyBorder="1" applyAlignment="1" applyProtection="1">
      <alignment horizontal="right" vertical="center"/>
    </xf>
    <xf numFmtId="0" fontId="45" fillId="24" borderId="10" xfId="156" applyFont="1" applyFill="1" applyBorder="1" applyAlignment="1" applyProtection="1">
      <alignment horizontal="left" vertical="center" wrapText="1"/>
    </xf>
    <xf numFmtId="0" fontId="46" fillId="0" borderId="11" xfId="156" applyFont="1" applyFill="1" applyBorder="1" applyAlignment="1" applyProtection="1">
      <alignment vertical="center" wrapText="1"/>
    </xf>
    <xf numFmtId="167" fontId="46" fillId="0" borderId="11" xfId="179" applyNumberFormat="1" applyFont="1" applyFill="1" applyBorder="1" applyAlignment="1" applyProtection="1">
      <alignment horizontal="right" vertical="center"/>
    </xf>
    <xf numFmtId="167" fontId="46" fillId="24" borderId="11" xfId="179" applyNumberFormat="1" applyFont="1" applyFill="1" applyBorder="1" applyAlignment="1" applyProtection="1">
      <alignment horizontal="right" vertical="center"/>
    </xf>
    <xf numFmtId="167" fontId="46" fillId="0" borderId="0" xfId="179" applyNumberFormat="1" applyFont="1" applyFill="1" applyBorder="1" applyAlignment="1" applyProtection="1">
      <alignment horizontal="right" vertical="center"/>
    </xf>
    <xf numFmtId="167" fontId="46" fillId="24" borderId="0" xfId="179" applyNumberFormat="1" applyFont="1" applyFill="1" applyBorder="1" applyAlignment="1" applyProtection="1">
      <alignment horizontal="right" vertical="center"/>
    </xf>
    <xf numFmtId="0" fontId="45" fillId="0" borderId="10" xfId="156" applyFont="1" applyFill="1" applyBorder="1" applyAlignment="1" applyProtection="1">
      <alignment vertical="center" wrapText="1"/>
    </xf>
    <xf numFmtId="167" fontId="45" fillId="0" borderId="10" xfId="156" applyNumberFormat="1" applyFont="1" applyFill="1" applyBorder="1" applyAlignment="1" applyProtection="1">
      <alignment horizontal="right" vertical="center"/>
    </xf>
    <xf numFmtId="167" fontId="45" fillId="0" borderId="10" xfId="174" applyNumberFormat="1" applyFont="1" applyFill="1" applyBorder="1" applyAlignment="1" applyProtection="1">
      <alignment horizontal="right" vertical="center"/>
    </xf>
    <xf numFmtId="0" fontId="45" fillId="0" borderId="0" xfId="156" applyFont="1" applyAlignment="1" applyProtection="1">
      <alignment vertical="center"/>
      <protection locked="0"/>
    </xf>
    <xf numFmtId="0" fontId="45" fillId="0" borderId="0" xfId="156" applyFont="1" applyAlignment="1" applyProtection="1">
      <alignment vertical="center"/>
    </xf>
    <xf numFmtId="167" fontId="46" fillId="0" borderId="11" xfId="175" applyNumberFormat="1" applyFont="1" applyFill="1" applyBorder="1" applyAlignment="1" applyProtection="1">
      <alignment horizontal="right" vertical="center"/>
    </xf>
    <xf numFmtId="167" fontId="50" fillId="0" borderId="0" xfId="175" applyNumberFormat="1" applyFont="1" applyFill="1" applyBorder="1" applyAlignment="1" applyProtection="1">
      <alignment horizontal="right" vertical="center"/>
    </xf>
    <xf numFmtId="167" fontId="45" fillId="0" borderId="10" xfId="175" applyNumberFormat="1" applyFont="1" applyFill="1" applyBorder="1" applyAlignment="1" applyProtection="1">
      <alignment horizontal="right" vertical="center"/>
    </xf>
    <xf numFmtId="167" fontId="46" fillId="0" borderId="10" xfId="175" applyNumberFormat="1" applyFont="1" applyFill="1" applyBorder="1" applyAlignment="1" applyProtection="1">
      <alignment horizontal="right" vertical="center"/>
    </xf>
    <xf numFmtId="0" fontId="45" fillId="24" borderId="0" xfId="156" applyFont="1" applyFill="1" applyBorder="1" applyAlignment="1" applyProtection="1">
      <alignment horizontal="left" vertical="center" wrapText="1"/>
    </xf>
    <xf numFmtId="167" fontId="50" fillId="24" borderId="11" xfId="175" applyNumberFormat="1" applyFont="1" applyFill="1" applyBorder="1" applyAlignment="1" applyProtection="1">
      <alignment horizontal="right" vertical="center"/>
    </xf>
    <xf numFmtId="167" fontId="50" fillId="24" borderId="0" xfId="175" applyNumberFormat="1" applyFont="1" applyFill="1" applyBorder="1" applyAlignment="1" applyProtection="1">
      <alignment horizontal="right" vertical="center"/>
    </xf>
    <xf numFmtId="167" fontId="46" fillId="24" borderId="12" xfId="175" applyNumberFormat="1" applyFont="1" applyFill="1" applyBorder="1" applyAlignment="1" applyProtection="1">
      <alignment horizontal="right" vertical="center"/>
    </xf>
    <xf numFmtId="167" fontId="49" fillId="27" borderId="10" xfId="156" applyNumberFormat="1" applyFont="1" applyFill="1" applyBorder="1" applyAlignment="1" applyProtection="1">
      <alignment horizontal="right" vertical="center"/>
    </xf>
    <xf numFmtId="4" fontId="45" fillId="27" borderId="10" xfId="156" applyNumberFormat="1" applyFont="1" applyFill="1" applyBorder="1" applyAlignment="1" applyProtection="1">
      <alignment vertical="center"/>
    </xf>
    <xf numFmtId="164" fontId="45" fillId="27" borderId="10" xfId="242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horizontal="left" vertical="center"/>
    </xf>
    <xf numFmtId="164" fontId="46" fillId="0" borderId="0" xfId="242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horizontal="left" vertical="center" wrapText="1"/>
    </xf>
    <xf numFmtId="0" fontId="46" fillId="24" borderId="0" xfId="156" applyFont="1" applyFill="1" applyAlignment="1" applyProtection="1">
      <alignment vertical="center"/>
      <protection locked="0"/>
    </xf>
    <xf numFmtId="0" fontId="52" fillId="0" borderId="0" xfId="156" applyFont="1" applyFill="1" applyBorder="1" applyAlignment="1" applyProtection="1">
      <alignment horizontal="left" vertical="center" wrapText="1"/>
    </xf>
    <xf numFmtId="164" fontId="52" fillId="0" borderId="0" xfId="242" applyFont="1" applyFill="1" applyBorder="1" applyAlignment="1" applyProtection="1">
      <alignment vertical="center"/>
    </xf>
    <xf numFmtId="0" fontId="52" fillId="0" borderId="0" xfId="156" applyFont="1" applyAlignment="1" applyProtection="1">
      <alignment vertical="center"/>
      <protection locked="0"/>
    </xf>
    <xf numFmtId="0" fontId="52" fillId="0" borderId="0" xfId="156" applyFont="1" applyAlignment="1" applyProtection="1">
      <alignment vertical="center"/>
    </xf>
    <xf numFmtId="0" fontId="45" fillId="27" borderId="10" xfId="156" applyFont="1" applyFill="1" applyBorder="1" applyAlignment="1" applyProtection="1">
      <alignment horizontal="left" vertical="center"/>
    </xf>
    <xf numFmtId="0" fontId="46" fillId="27" borderId="10" xfId="156" applyFont="1" applyFill="1" applyBorder="1" applyAlignment="1" applyProtection="1">
      <alignment horizontal="left" vertical="center" wrapText="1"/>
    </xf>
    <xf numFmtId="164" fontId="45" fillId="27" borderId="10" xfId="166" applyNumberFormat="1" applyFont="1" applyFill="1" applyBorder="1" applyAlignment="1" applyProtection="1">
      <alignment horizontal="right" vertical="center"/>
    </xf>
    <xf numFmtId="0" fontId="45" fillId="27" borderId="11" xfId="156" applyFont="1" applyFill="1" applyBorder="1" applyAlignment="1" applyProtection="1">
      <alignment vertical="center"/>
    </xf>
    <xf numFmtId="0" fontId="46" fillId="0" borderId="11" xfId="156" applyFont="1" applyFill="1" applyBorder="1" applyAlignment="1" applyProtection="1">
      <alignment horizontal="left" vertical="center" wrapText="1"/>
    </xf>
    <xf numFmtId="10" fontId="46" fillId="0" borderId="11" xfId="175" applyNumberFormat="1" applyFont="1" applyFill="1" applyBorder="1" applyAlignment="1" applyProtection="1">
      <alignment horizontal="right" vertical="center"/>
    </xf>
    <xf numFmtId="2" fontId="46" fillId="0" borderId="12" xfId="156" applyNumberFormat="1" applyFont="1" applyFill="1" applyBorder="1" applyAlignment="1" applyProtection="1">
      <alignment horizontal="left" vertical="center" wrapText="1"/>
    </xf>
    <xf numFmtId="10" fontId="46" fillId="0" borderId="12" xfId="175" applyNumberFormat="1" applyFont="1" applyFill="1" applyBorder="1" applyAlignment="1" applyProtection="1">
      <alignment horizontal="center" vertical="center"/>
    </xf>
    <xf numFmtId="10" fontId="46" fillId="0" borderId="12" xfId="175" applyNumberFormat="1" applyFont="1" applyFill="1" applyBorder="1" applyAlignment="1" applyProtection="1">
      <alignment horizontal="right" vertical="center"/>
    </xf>
    <xf numFmtId="0" fontId="45" fillId="0" borderId="11" xfId="156" applyFont="1" applyFill="1" applyBorder="1" applyAlignment="1" applyProtection="1">
      <alignment horizontal="left" vertical="center" wrapText="1"/>
    </xf>
    <xf numFmtId="167" fontId="45" fillId="0" borderId="11" xfId="156" applyNumberFormat="1" applyFont="1" applyFill="1" applyBorder="1" applyAlignment="1" applyProtection="1">
      <alignment horizontal="right" vertical="center"/>
    </xf>
    <xf numFmtId="2" fontId="45" fillId="0" borderId="11" xfId="188" applyNumberFormat="1" applyFont="1" applyFill="1" applyBorder="1" applyAlignment="1" applyProtection="1">
      <alignment vertical="center"/>
    </xf>
    <xf numFmtId="10" fontId="46" fillId="0" borderId="11" xfId="156" applyNumberFormat="1" applyFont="1" applyFill="1" applyBorder="1" applyAlignment="1" applyProtection="1">
      <alignment horizontal="center" vertical="center" wrapText="1"/>
    </xf>
    <xf numFmtId="10" fontId="46" fillId="0" borderId="0" xfId="156" applyNumberFormat="1" applyFont="1" applyFill="1" applyBorder="1" applyAlignment="1" applyProtection="1">
      <alignment horizontal="center" vertical="center" wrapText="1"/>
    </xf>
    <xf numFmtId="0" fontId="46" fillId="0" borderId="12" xfId="156" applyFont="1" applyFill="1" applyBorder="1" applyAlignment="1" applyProtection="1">
      <alignment horizontal="left" vertical="center" wrapText="1"/>
    </xf>
    <xf numFmtId="10" fontId="46" fillId="0" borderId="12" xfId="156" applyNumberFormat="1" applyFont="1" applyFill="1" applyBorder="1" applyAlignment="1" applyProtection="1">
      <alignment horizontal="center" vertical="center" wrapText="1"/>
    </xf>
    <xf numFmtId="10" fontId="45" fillId="27" borderId="10" xfId="188" applyNumberFormat="1" applyFont="1" applyFill="1" applyBorder="1" applyAlignment="1" applyProtection="1">
      <alignment horizontal="right" vertical="center"/>
    </xf>
    <xf numFmtId="0" fontId="45" fillId="26" borderId="10" xfId="156" applyFont="1" applyFill="1" applyBorder="1" applyAlignment="1" applyProtection="1">
      <alignment horizontal="left" vertical="center" wrapText="1"/>
    </xf>
    <xf numFmtId="4" fontId="45" fillId="26" borderId="10" xfId="156" applyNumberFormat="1" applyFont="1" applyFill="1" applyBorder="1" applyAlignment="1" applyProtection="1">
      <alignment vertical="center"/>
    </xf>
    <xf numFmtId="4" fontId="46" fillId="0" borderId="0" xfId="156" applyNumberFormat="1" applyFont="1" applyAlignment="1" applyProtection="1">
      <alignment vertical="center"/>
    </xf>
    <xf numFmtId="0" fontId="46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</xf>
    <xf numFmtId="164" fontId="46" fillId="0" borderId="0" xfId="240" applyFont="1" applyAlignment="1" applyProtection="1">
      <alignment vertical="center"/>
    </xf>
    <xf numFmtId="4" fontId="46" fillId="0" borderId="0" xfId="0" applyNumberFormat="1" applyFont="1" applyAlignment="1" applyProtection="1">
      <alignment vertical="center"/>
      <protection locked="0"/>
    </xf>
    <xf numFmtId="0" fontId="45" fillId="0" borderId="13" xfId="157" applyFont="1" applyBorder="1" applyAlignment="1" applyProtection="1">
      <alignment horizontal="center" vertical="center"/>
      <protection locked="0"/>
    </xf>
    <xf numFmtId="0" fontId="42" fillId="24" borderId="13" xfId="156" applyFont="1" applyFill="1" applyBorder="1" applyAlignment="1">
      <alignment horizontal="center" vertical="center" wrapText="1"/>
    </xf>
    <xf numFmtId="0" fontId="45" fillId="24" borderId="13" xfId="157" applyFont="1" applyFill="1" applyBorder="1" applyAlignment="1" applyProtection="1">
      <alignment horizontal="center" vertical="center" wrapText="1"/>
    </xf>
    <xf numFmtId="0" fontId="46" fillId="0" borderId="0" xfId="156" applyFont="1" applyAlignment="1">
      <alignment vertical="center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43" fontId="10" fillId="0" borderId="0" xfId="156" applyNumberFormat="1" applyFont="1" applyAlignment="1" applyProtection="1">
      <alignment vertical="center"/>
      <protection locked="0"/>
    </xf>
    <xf numFmtId="0" fontId="10" fillId="0" borderId="0" xfId="156" applyFont="1" applyAlignment="1" applyProtection="1">
      <alignment vertical="center"/>
      <protection locked="0"/>
    </xf>
    <xf numFmtId="0" fontId="10" fillId="0" borderId="0" xfId="156" applyFont="1" applyAlignment="1" applyProtection="1">
      <alignment vertical="center"/>
    </xf>
    <xf numFmtId="0" fontId="46" fillId="0" borderId="0" xfId="157" applyFont="1" applyAlignment="1" applyProtection="1">
      <alignment horizontal="center" vertical="center" wrapText="1"/>
      <protection locked="0"/>
    </xf>
    <xf numFmtId="0" fontId="45" fillId="27" borderId="17" xfId="156" applyFont="1" applyFill="1" applyBorder="1" applyAlignment="1" applyProtection="1">
      <alignment horizontal="left" vertical="center" wrapText="1"/>
    </xf>
    <xf numFmtId="0" fontId="45" fillId="0" borderId="17" xfId="156" applyFont="1" applyFill="1" applyBorder="1" applyAlignment="1" applyProtection="1">
      <alignment horizontal="left" vertical="center" wrapText="1"/>
    </xf>
    <xf numFmtId="0" fontId="44" fillId="0" borderId="0" xfId="156" applyFont="1" applyFill="1" applyAlignment="1" applyProtection="1">
      <alignment vertical="center"/>
      <protection locked="0"/>
    </xf>
    <xf numFmtId="0" fontId="44" fillId="0" borderId="0" xfId="156" applyFont="1" applyFill="1" applyAlignment="1" applyProtection="1">
      <alignment vertical="center"/>
    </xf>
    <xf numFmtId="0" fontId="9" fillId="0" borderId="0" xfId="155" applyFont="1"/>
    <xf numFmtId="4" fontId="45" fillId="29" borderId="0" xfId="244" applyNumberFormat="1" applyFont="1" applyFill="1" applyBorder="1" applyAlignment="1" applyProtection="1">
      <alignment horizontal="right" vertical="center"/>
      <protection locked="0"/>
    </xf>
    <xf numFmtId="4" fontId="45" fillId="24" borderId="0" xfId="244" applyNumberFormat="1" applyFont="1" applyFill="1" applyBorder="1" applyAlignment="1" applyProtection="1">
      <alignment horizontal="right" vertical="center"/>
    </xf>
    <xf numFmtId="4" fontId="45" fillId="24" borderId="0" xfId="244" applyNumberFormat="1" applyFont="1" applyFill="1" applyAlignment="1" applyProtection="1">
      <alignment horizontal="right" vertical="center"/>
    </xf>
    <xf numFmtId="4" fontId="47" fillId="24" borderId="0" xfId="244" applyNumberFormat="1" applyFont="1" applyFill="1" applyBorder="1" applyAlignment="1" applyProtection="1">
      <alignment horizontal="right" vertical="center"/>
    </xf>
    <xf numFmtId="4" fontId="45" fillId="27" borderId="10" xfId="244" applyNumberFormat="1" applyFont="1" applyFill="1" applyBorder="1" applyAlignment="1" applyProtection="1">
      <alignment horizontal="right" vertical="center"/>
    </xf>
    <xf numFmtId="4" fontId="45" fillId="24" borderId="10" xfId="156" applyNumberFormat="1" applyFont="1" applyFill="1" applyBorder="1" applyAlignment="1" applyProtection="1">
      <alignment horizontal="right" vertical="center"/>
    </xf>
    <xf numFmtId="4" fontId="45" fillId="0" borderId="10" xfId="156" applyNumberFormat="1" applyFont="1" applyFill="1" applyBorder="1" applyAlignment="1" applyProtection="1">
      <alignment horizontal="right" vertical="center"/>
    </xf>
    <xf numFmtId="4" fontId="46" fillId="0" borderId="10" xfId="156" applyNumberFormat="1" applyFont="1" applyFill="1" applyBorder="1" applyAlignment="1" applyProtection="1">
      <alignment horizontal="right" vertical="center"/>
    </xf>
    <xf numFmtId="4" fontId="46" fillId="24" borderId="11" xfId="156" applyNumberFormat="1" applyFont="1" applyFill="1" applyBorder="1" applyAlignment="1" applyProtection="1">
      <alignment horizontal="right" vertical="center"/>
    </xf>
    <xf numFmtId="4" fontId="46" fillId="24" borderId="12" xfId="156" applyNumberFormat="1" applyFont="1" applyFill="1" applyBorder="1" applyAlignment="1" applyProtection="1">
      <alignment horizontal="right" vertical="center"/>
    </xf>
    <xf numFmtId="4" fontId="46" fillId="24" borderId="0" xfId="242" applyNumberFormat="1" applyFont="1" applyFill="1" applyBorder="1" applyAlignment="1" applyProtection="1">
      <alignment horizontal="right" vertical="center"/>
    </xf>
    <xf numFmtId="4" fontId="45" fillId="27" borderId="10" xfId="242" applyNumberFormat="1" applyFont="1" applyFill="1" applyBorder="1" applyAlignment="1" applyProtection="1">
      <alignment horizontal="right" vertical="center"/>
    </xf>
    <xf numFmtId="4" fontId="46" fillId="29" borderId="0" xfId="242" applyNumberFormat="1" applyFont="1" applyFill="1" applyBorder="1" applyAlignment="1" applyProtection="1">
      <alignment horizontal="right" vertical="center"/>
      <protection locked="0"/>
    </xf>
    <xf numFmtId="4" fontId="45" fillId="0" borderId="17" xfId="156" applyNumberFormat="1" applyFont="1" applyFill="1" applyBorder="1" applyAlignment="1" applyProtection="1">
      <alignment horizontal="right" vertical="center"/>
    </xf>
    <xf numFmtId="4" fontId="45" fillId="27" borderId="17" xfId="156" applyNumberFormat="1" applyFont="1" applyFill="1" applyBorder="1" applyAlignment="1" applyProtection="1">
      <alignment horizontal="right" vertical="center"/>
    </xf>
    <xf numFmtId="4" fontId="45" fillId="27" borderId="11" xfId="156" applyNumberFormat="1" applyFont="1" applyFill="1" applyBorder="1" applyAlignment="1" applyProtection="1">
      <alignment horizontal="right" vertical="center"/>
    </xf>
    <xf numFmtId="4" fontId="46" fillId="0" borderId="11" xfId="175" applyNumberFormat="1" applyFont="1" applyFill="1" applyBorder="1" applyAlignment="1" applyProtection="1">
      <alignment horizontal="right" vertical="center"/>
    </xf>
    <xf numFmtId="4" fontId="46" fillId="0" borderId="12" xfId="175" applyNumberFormat="1" applyFont="1" applyFill="1" applyBorder="1" applyAlignment="1" applyProtection="1">
      <alignment horizontal="right" vertical="center"/>
    </xf>
    <xf numFmtId="4" fontId="45" fillId="27" borderId="10" xfId="188" applyNumberFormat="1" applyFont="1" applyFill="1" applyBorder="1" applyAlignment="1" applyProtection="1">
      <alignment horizontal="right" vertical="center"/>
    </xf>
    <xf numFmtId="4" fontId="45" fillId="0" borderId="11" xfId="188" applyNumberFormat="1" applyFont="1" applyFill="1" applyBorder="1" applyAlignment="1" applyProtection="1">
      <alignment horizontal="right" vertical="center"/>
    </xf>
    <xf numFmtId="4" fontId="46" fillId="0" borderId="11" xfId="156" applyNumberFormat="1" applyFont="1" applyFill="1" applyBorder="1" applyAlignment="1" applyProtection="1">
      <alignment horizontal="right" vertical="center"/>
    </xf>
    <xf numFmtId="4" fontId="46" fillId="0" borderId="0" xfId="156" applyNumberFormat="1" applyFont="1" applyFill="1" applyBorder="1" applyAlignment="1" applyProtection="1">
      <alignment horizontal="right" vertical="center"/>
    </xf>
    <xf numFmtId="4" fontId="46" fillId="0" borderId="12" xfId="156" applyNumberFormat="1" applyFont="1" applyFill="1" applyBorder="1" applyAlignment="1" applyProtection="1">
      <alignment horizontal="right" vertical="center"/>
    </xf>
    <xf numFmtId="4" fontId="45" fillId="26" borderId="10" xfId="156" applyNumberFormat="1" applyFont="1" applyFill="1" applyBorder="1" applyAlignment="1" applyProtection="1">
      <alignment horizontal="right" vertical="center"/>
    </xf>
    <xf numFmtId="167" fontId="46" fillId="0" borderId="0" xfId="156" applyNumberFormat="1" applyFont="1" applyFill="1" applyBorder="1" applyAlignment="1" applyProtection="1">
      <alignment horizontal="right" vertical="center"/>
    </xf>
    <xf numFmtId="167" fontId="46" fillId="24" borderId="0" xfId="156" applyNumberFormat="1" applyFont="1" applyFill="1" applyBorder="1" applyAlignment="1" applyProtection="1">
      <alignment horizontal="right" vertical="center"/>
    </xf>
    <xf numFmtId="167" fontId="45" fillId="24" borderId="10" xfId="179" applyNumberFormat="1" applyFont="1" applyFill="1" applyBorder="1" applyAlignment="1" applyProtection="1">
      <alignment horizontal="right" vertical="center"/>
    </xf>
    <xf numFmtId="167" fontId="45" fillId="27" borderId="10" xfId="179" applyNumberFormat="1" applyFont="1" applyFill="1" applyBorder="1" applyAlignment="1" applyProtection="1">
      <alignment horizontal="right" vertical="center"/>
    </xf>
    <xf numFmtId="0" fontId="45" fillId="30" borderId="0" xfId="156" applyFont="1" applyFill="1" applyAlignment="1" applyProtection="1">
      <alignment horizontal="center" vertical="center"/>
      <protection locked="0"/>
    </xf>
    <xf numFmtId="10" fontId="46" fillId="30" borderId="11" xfId="156" applyNumberFormat="1" applyFont="1" applyFill="1" applyBorder="1" applyAlignment="1" applyProtection="1">
      <alignment horizontal="right" vertical="center"/>
    </xf>
    <xf numFmtId="10" fontId="46" fillId="0" borderId="0" xfId="156" applyNumberFormat="1" applyFont="1" applyFill="1" applyBorder="1" applyAlignment="1" applyProtection="1">
      <alignment horizontal="right" vertical="center"/>
    </xf>
    <xf numFmtId="10" fontId="46" fillId="0" borderId="12" xfId="156" applyNumberFormat="1" applyFont="1" applyFill="1" applyBorder="1" applyAlignment="1" applyProtection="1">
      <alignment horizontal="right" vertical="center"/>
    </xf>
    <xf numFmtId="0" fontId="8" fillId="0" borderId="0" xfId="155" applyFont="1"/>
    <xf numFmtId="10" fontId="45" fillId="27" borderId="10" xfId="188" applyNumberFormat="1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167" fontId="46" fillId="0" borderId="0" xfId="156" applyNumberFormat="1" applyFont="1" applyAlignment="1" applyProtection="1">
      <alignment vertical="center"/>
      <protection locked="0"/>
    </xf>
    <xf numFmtId="167" fontId="46" fillId="0" borderId="12" xfId="179" applyNumberFormat="1" applyFont="1" applyFill="1" applyBorder="1" applyAlignment="1" applyProtection="1">
      <alignment horizontal="right" vertical="center"/>
    </xf>
    <xf numFmtId="167" fontId="46" fillId="0" borderId="0" xfId="175" applyNumberFormat="1" applyFont="1" applyFill="1" applyBorder="1" applyAlignment="1" applyProtection="1">
      <alignment horizontal="right" vertical="center"/>
    </xf>
    <xf numFmtId="0" fontId="46" fillId="0" borderId="0" xfId="156" applyFont="1" applyFill="1" applyBorder="1" applyAlignment="1" applyProtection="1">
      <alignment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53" fillId="0" borderId="0" xfId="156" applyFont="1" applyAlignment="1">
      <alignment vertical="center"/>
    </xf>
    <xf numFmtId="4" fontId="45" fillId="24" borderId="0" xfId="156" applyNumberFormat="1" applyFont="1" applyFill="1" applyBorder="1" applyAlignment="1" applyProtection="1">
      <alignment horizontal="right" vertical="center"/>
    </xf>
    <xf numFmtId="4" fontId="45" fillId="0" borderId="0" xfId="156" applyNumberFormat="1" applyFont="1" applyFill="1" applyBorder="1" applyAlignment="1" applyProtection="1">
      <alignment horizontal="right" vertical="center"/>
    </xf>
    <xf numFmtId="4" fontId="45" fillId="27" borderId="0" xfId="156" applyNumberFormat="1" applyFont="1" applyFill="1" applyBorder="1" applyAlignment="1" applyProtection="1">
      <alignment horizontal="right" vertical="center"/>
    </xf>
    <xf numFmtId="0" fontId="46" fillId="0" borderId="0" xfId="156" applyFont="1" applyBorder="1" applyAlignment="1" applyProtection="1">
      <alignment vertical="center"/>
      <protection locked="0"/>
    </xf>
    <xf numFmtId="43" fontId="10" fillId="0" borderId="0" xfId="156" applyNumberFormat="1" applyFont="1" applyBorder="1" applyAlignment="1" applyProtection="1">
      <alignment vertical="center"/>
      <protection locked="0"/>
    </xf>
    <xf numFmtId="0" fontId="46" fillId="0" borderId="0" xfId="156" applyFont="1" applyAlignment="1">
      <alignment vertical="center"/>
    </xf>
    <xf numFmtId="4" fontId="6" fillId="29" borderId="0" xfId="242" applyNumberFormat="1" applyFont="1" applyFill="1" applyBorder="1" applyAlignment="1" applyProtection="1">
      <alignment horizontal="right" vertical="center"/>
      <protection locked="0"/>
    </xf>
    <xf numFmtId="0" fontId="46" fillId="0" borderId="0" xfId="156" applyFont="1" applyAlignment="1">
      <alignment vertical="center"/>
    </xf>
    <xf numFmtId="0" fontId="45" fillId="0" borderId="22" xfId="157" applyFont="1" applyBorder="1" applyAlignment="1" applyProtection="1">
      <alignment horizontal="center" vertical="center" wrapText="1"/>
      <protection locked="0"/>
    </xf>
    <xf numFmtId="0" fontId="45" fillId="24" borderId="22" xfId="155" applyFont="1" applyFill="1" applyBorder="1" applyAlignment="1" applyProtection="1">
      <alignment horizontal="center" vertical="center" wrapText="1"/>
    </xf>
    <xf numFmtId="0" fontId="45" fillId="24" borderId="22" xfId="157" applyFont="1" applyFill="1" applyBorder="1" applyAlignment="1" applyProtection="1">
      <alignment horizontal="center" vertical="center" wrapText="1"/>
    </xf>
    <xf numFmtId="0" fontId="48" fillId="24" borderId="22" xfId="155" applyFont="1" applyFill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left" vertical="center" wrapText="1"/>
    </xf>
    <xf numFmtId="4" fontId="46" fillId="0" borderId="22" xfId="240" applyNumberFormat="1" applyFont="1" applyBorder="1" applyAlignment="1" applyProtection="1">
      <alignment horizontal="right" vertical="center"/>
    </xf>
    <xf numFmtId="0" fontId="10" fillId="0" borderId="22" xfId="0" applyFont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justify" vertical="center" wrapText="1"/>
    </xf>
    <xf numFmtId="0" fontId="46" fillId="0" borderId="22" xfId="157" quotePrefix="1" applyFont="1" applyBorder="1" applyAlignment="1" applyProtection="1">
      <alignment horizontal="center" vertical="center" wrapText="1"/>
      <protection locked="0"/>
    </xf>
    <xf numFmtId="0" fontId="42" fillId="0" borderId="21" xfId="155" applyFont="1" applyFill="1" applyBorder="1" applyAlignment="1" applyProtection="1">
      <alignment horizontal="left" vertical="center" wrapText="1"/>
    </xf>
    <xf numFmtId="0" fontId="42" fillId="0" borderId="21" xfId="155" applyFont="1" applyFill="1" applyBorder="1" applyAlignment="1" applyProtection="1">
      <alignment vertical="center" wrapText="1"/>
    </xf>
    <xf numFmtId="4" fontId="42" fillId="0" borderId="21" xfId="240" applyNumberFormat="1" applyFont="1" applyFill="1" applyBorder="1" applyAlignment="1" applyProtection="1">
      <alignment horizontal="right" vertical="center"/>
    </xf>
    <xf numFmtId="0" fontId="7" fillId="0" borderId="22" xfId="0" applyFont="1" applyBorder="1" applyAlignment="1" applyProtection="1">
      <alignment horizontal="left" vertical="center" wrapText="1"/>
    </xf>
    <xf numFmtId="0" fontId="10" fillId="0" borderId="22" xfId="166" applyFont="1" applyBorder="1" applyAlignment="1" applyProtection="1">
      <alignment horizontal="left" vertical="center" wrapText="1"/>
    </xf>
    <xf numFmtId="0" fontId="42" fillId="29" borderId="22" xfId="155" applyFont="1" applyFill="1" applyBorder="1" applyAlignment="1" applyProtection="1">
      <alignment vertical="center" wrapText="1"/>
    </xf>
    <xf numFmtId="4" fontId="42" fillId="29" borderId="22" xfId="240" applyNumberFormat="1" applyFont="1" applyFill="1" applyBorder="1" applyAlignment="1" applyProtection="1">
      <alignment horizontal="right" vertical="center"/>
    </xf>
    <xf numFmtId="0" fontId="5" fillId="0" borderId="22" xfId="0" applyFont="1" applyBorder="1" applyAlignment="1" applyProtection="1">
      <alignment horizontal="left" vertical="center" wrapText="1"/>
    </xf>
    <xf numFmtId="0" fontId="55" fillId="0" borderId="0" xfId="0" applyFont="1"/>
    <xf numFmtId="0" fontId="42" fillId="27" borderId="0" xfId="155" applyFont="1" applyFill="1" applyBorder="1" applyAlignment="1" applyProtection="1">
      <alignment vertical="center"/>
      <protection locked="0"/>
    </xf>
    <xf numFmtId="164" fontId="44" fillId="27" borderId="0" xfId="240" applyFont="1" applyFill="1" applyBorder="1" applyAlignment="1" applyProtection="1">
      <alignment horizontal="left" vertical="center" wrapText="1"/>
      <protection locked="0"/>
    </xf>
    <xf numFmtId="4" fontId="46" fillId="27" borderId="0" xfId="240" applyNumberFormat="1" applyFont="1" applyFill="1" applyBorder="1" applyAlignment="1" applyProtection="1">
      <alignment horizontal="right" vertical="center"/>
    </xf>
    <xf numFmtId="4" fontId="45" fillId="27" borderId="0" xfId="240" applyNumberFormat="1" applyFont="1" applyFill="1" applyBorder="1" applyAlignment="1" applyProtection="1">
      <alignment horizontal="right" vertical="center"/>
    </xf>
    <xf numFmtId="0" fontId="57" fillId="24" borderId="13" xfId="157" applyFont="1" applyFill="1" applyBorder="1" applyAlignment="1" applyProtection="1">
      <alignment horizontal="right" vertical="center" wrapText="1"/>
    </xf>
    <xf numFmtId="0" fontId="57" fillId="24" borderId="20" xfId="157" applyFont="1" applyFill="1" applyBorder="1" applyAlignment="1" applyProtection="1">
      <alignment horizontal="right" vertical="center" wrapText="1"/>
    </xf>
    <xf numFmtId="0" fontId="46" fillId="0" borderId="22" xfId="157" applyFont="1" applyBorder="1" applyAlignment="1" applyProtection="1">
      <alignment horizontal="center" vertical="center"/>
      <protection locked="0"/>
    </xf>
    <xf numFmtId="0" fontId="10" fillId="24" borderId="22" xfId="155" applyFont="1" applyFill="1" applyBorder="1" applyAlignment="1" applyProtection="1">
      <alignment horizontal="left" vertical="center"/>
      <protection locked="0"/>
    </xf>
    <xf numFmtId="0" fontId="46" fillId="24" borderId="22" xfId="157" applyFont="1" applyFill="1" applyBorder="1" applyAlignment="1" applyProtection="1">
      <alignment horizontal="center" vertical="center" wrapText="1"/>
    </xf>
    <xf numFmtId="164" fontId="58" fillId="24" borderId="22" xfId="240" applyFont="1" applyFill="1" applyBorder="1" applyAlignment="1" applyProtection="1">
      <alignment horizontal="left" vertical="center" wrapText="1"/>
      <protection locked="0"/>
    </xf>
    <xf numFmtId="4" fontId="46" fillId="24" borderId="22" xfId="240" applyNumberFormat="1" applyFont="1" applyFill="1" applyBorder="1" applyAlignment="1" applyProtection="1">
      <alignment horizontal="center" vertical="center"/>
    </xf>
    <xf numFmtId="4" fontId="46" fillId="24" borderId="22" xfId="240" applyNumberFormat="1" applyFont="1" applyFill="1" applyBorder="1" applyAlignment="1" applyProtection="1">
      <alignment horizontal="right" vertical="center"/>
    </xf>
    <xf numFmtId="4" fontId="46" fillId="27" borderId="22" xfId="240" applyNumberFormat="1" applyFont="1" applyFill="1" applyBorder="1" applyAlignment="1" applyProtection="1">
      <alignment horizontal="right" vertical="center"/>
    </xf>
    <xf numFmtId="0" fontId="5" fillId="24" borderId="22" xfId="155" applyFont="1" applyFill="1" applyBorder="1" applyAlignment="1" applyProtection="1">
      <alignment horizontal="left" vertical="center"/>
      <protection locked="0"/>
    </xf>
    <xf numFmtId="0" fontId="46" fillId="24" borderId="22" xfId="155" applyFont="1" applyFill="1" applyBorder="1" applyAlignment="1" applyProtection="1">
      <alignment horizontal="left" vertical="center"/>
      <protection locked="0"/>
    </xf>
    <xf numFmtId="164" fontId="44" fillId="24" borderId="22" xfId="240" applyFont="1" applyFill="1" applyBorder="1" applyAlignment="1" applyProtection="1">
      <alignment horizontal="left" vertical="center" wrapText="1"/>
      <protection locked="0"/>
    </xf>
    <xf numFmtId="4" fontId="45" fillId="24" borderId="22" xfId="240" applyNumberFormat="1" applyFont="1" applyFill="1" applyBorder="1" applyAlignment="1" applyProtection="1">
      <alignment horizontal="right" vertical="center"/>
    </xf>
    <xf numFmtId="164" fontId="44" fillId="27" borderId="22" xfId="240" applyFont="1" applyFill="1" applyBorder="1" applyAlignment="1" applyProtection="1">
      <alignment horizontal="left" vertical="center" wrapText="1"/>
      <protection locked="0"/>
    </xf>
    <xf numFmtId="4" fontId="45" fillId="27" borderId="22" xfId="240" applyNumberFormat="1" applyFont="1" applyFill="1" applyBorder="1" applyAlignment="1" applyProtection="1">
      <alignment horizontal="right" vertical="center"/>
    </xf>
    <xf numFmtId="0" fontId="42" fillId="0" borderId="22" xfId="156" applyFont="1" applyBorder="1" applyAlignment="1">
      <alignment horizontal="right" vertical="center" wrapText="1"/>
    </xf>
    <xf numFmtId="0" fontId="46" fillId="0" borderId="22" xfId="156" applyFont="1" applyBorder="1" applyAlignment="1">
      <alignment vertical="center"/>
    </xf>
    <xf numFmtId="0" fontId="45" fillId="0" borderId="22" xfId="157" applyFont="1" applyBorder="1" applyAlignment="1" applyProtection="1">
      <alignment horizontal="center" vertical="center"/>
      <protection locked="0"/>
    </xf>
    <xf numFmtId="0" fontId="57" fillId="24" borderId="22" xfId="157" applyFont="1" applyFill="1" applyBorder="1" applyAlignment="1" applyProtection="1">
      <alignment horizontal="right" vertical="center" wrapText="1"/>
    </xf>
    <xf numFmtId="0" fontId="47" fillId="24" borderId="22" xfId="157" applyFont="1" applyFill="1" applyBorder="1" applyAlignment="1" applyProtection="1">
      <alignment horizontal="right" vertical="center" wrapText="1"/>
    </xf>
    <xf numFmtId="0" fontId="46" fillId="0" borderId="22" xfId="156" applyFont="1" applyBorder="1" applyAlignment="1">
      <alignment horizontal="center" vertical="center"/>
    </xf>
    <xf numFmtId="0" fontId="10" fillId="24" borderId="22" xfId="156" applyFont="1" applyFill="1" applyBorder="1" applyAlignment="1" applyProtection="1">
      <alignment horizontal="left" vertical="center" wrapText="1"/>
    </xf>
    <xf numFmtId="4" fontId="46" fillId="24" borderId="22" xfId="156" applyNumberFormat="1" applyFont="1" applyFill="1" applyBorder="1" applyAlignment="1" applyProtection="1">
      <alignment horizontal="center" vertical="center"/>
    </xf>
    <xf numFmtId="0" fontId="46" fillId="32" borderId="22" xfId="156" applyFont="1" applyFill="1" applyBorder="1" applyAlignment="1" applyProtection="1">
      <alignment horizontal="center" vertical="center"/>
    </xf>
    <xf numFmtId="4" fontId="46" fillId="24" borderId="22" xfId="240" applyNumberFormat="1" applyFont="1" applyFill="1" applyBorder="1" applyAlignment="1" applyProtection="1">
      <alignment horizontal="right" vertical="center"/>
      <protection locked="0"/>
    </xf>
    <xf numFmtId="4" fontId="45" fillId="27" borderId="22" xfId="240" applyNumberFormat="1" applyFont="1" applyFill="1" applyBorder="1" applyAlignment="1" applyProtection="1">
      <alignment horizontal="right" vertical="center"/>
      <protection locked="0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24" borderId="0" xfId="169" applyFont="1" applyFill="1" applyBorder="1" applyAlignment="1" applyProtection="1">
      <alignment horizontal="left" vertical="center" wrapText="1"/>
    </xf>
    <xf numFmtId="0" fontId="45" fillId="0" borderId="0" xfId="157" applyFont="1" applyFill="1" applyBorder="1" applyAlignment="1" applyProtection="1">
      <alignment horizontal="center" vertical="center" wrapText="1"/>
    </xf>
    <xf numFmtId="0" fontId="46" fillId="0" borderId="0" xfId="157" applyFont="1" applyFill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</xf>
    <xf numFmtId="0" fontId="51" fillId="0" borderId="22" xfId="0" applyFont="1" applyBorder="1" applyAlignment="1">
      <alignment horizontal="justify" vertical="justify" wrapText="1"/>
    </xf>
    <xf numFmtId="0" fontId="2" fillId="0" borderId="22" xfId="0" applyFont="1" applyBorder="1" applyAlignment="1">
      <alignment horizontal="justify" vertical="justify" wrapText="1"/>
    </xf>
    <xf numFmtId="0" fontId="46" fillId="0" borderId="22" xfId="0" applyFont="1" applyBorder="1" applyAlignment="1">
      <alignment horizontal="justify" vertical="justify" wrapText="1"/>
    </xf>
    <xf numFmtId="4" fontId="46" fillId="0" borderId="22" xfId="240" applyNumberFormat="1" applyFont="1" applyFill="1" applyBorder="1" applyAlignment="1" applyProtection="1">
      <alignment horizontal="center" vertical="center"/>
    </xf>
    <xf numFmtId="4" fontId="10" fillId="24" borderId="22" xfId="240" applyNumberFormat="1" applyFont="1" applyFill="1" applyBorder="1" applyAlignment="1" applyProtection="1">
      <alignment horizontal="right" vertical="center"/>
    </xf>
    <xf numFmtId="0" fontId="10" fillId="24" borderId="22" xfId="240" applyNumberFormat="1" applyFont="1" applyFill="1" applyBorder="1" applyAlignment="1" applyProtection="1">
      <alignment horizontal="center" vertical="center"/>
    </xf>
    <xf numFmtId="4" fontId="10" fillId="24" borderId="22" xfId="240" applyNumberFormat="1" applyFont="1" applyFill="1" applyBorder="1" applyAlignment="1" applyProtection="1">
      <alignment wrapText="1"/>
    </xf>
    <xf numFmtId="4" fontId="10" fillId="24" borderId="22" xfId="240" applyNumberFormat="1" applyFont="1" applyFill="1" applyBorder="1" applyAlignment="1" applyProtection="1">
      <alignment vertical="center" wrapText="1"/>
    </xf>
    <xf numFmtId="10" fontId="51" fillId="24" borderId="22" xfId="0" applyNumberFormat="1" applyFont="1" applyFill="1" applyBorder="1" applyAlignment="1" applyProtection="1">
      <alignment horizontal="left" vertical="center" wrapText="1"/>
      <protection locked="0"/>
    </xf>
    <xf numFmtId="10" fontId="51" fillId="24" borderId="22" xfId="0" applyNumberFormat="1" applyFont="1" applyFill="1" applyBorder="1" applyAlignment="1" applyProtection="1">
      <alignment horizontal="center" vertical="center" wrapText="1"/>
      <protection locked="0"/>
    </xf>
    <xf numFmtId="10" fontId="10" fillId="24" borderId="22" xfId="240" applyNumberFormat="1" applyFont="1" applyFill="1" applyBorder="1" applyAlignment="1" applyProtection="1">
      <alignment horizontal="center" vertical="center" wrapText="1"/>
      <protection locked="0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1" fillId="0" borderId="0" xfId="155" applyFont="1"/>
    <xf numFmtId="8" fontId="62" fillId="0" borderId="0" xfId="0" applyNumberFormat="1" applyFont="1" applyAlignment="1" applyProtection="1">
      <alignment vertical="center"/>
      <protection locked="0"/>
    </xf>
    <xf numFmtId="0" fontId="46" fillId="0" borderId="0" xfId="0" applyFont="1" applyBorder="1" applyAlignment="1" applyProtection="1">
      <alignment vertical="center"/>
      <protection locked="0"/>
    </xf>
    <xf numFmtId="8" fontId="61" fillId="0" borderId="0" xfId="0" applyNumberFormat="1" applyFont="1" applyBorder="1" applyAlignment="1">
      <alignment horizontal="right" vertical="center" wrapText="1"/>
    </xf>
    <xf numFmtId="8" fontId="62" fillId="0" borderId="0" xfId="0" applyNumberFormat="1" applyFont="1" applyBorder="1" applyAlignment="1" applyProtection="1">
      <alignment vertical="center"/>
      <protection locked="0"/>
    </xf>
    <xf numFmtId="0" fontId="48" fillId="25" borderId="22" xfId="0" applyFont="1" applyFill="1" applyBorder="1" applyAlignment="1" applyProtection="1">
      <alignment horizontal="center" vertical="center" wrapText="1"/>
    </xf>
    <xf numFmtId="0" fontId="48" fillId="28" borderId="22" xfId="0" applyFont="1" applyFill="1" applyBorder="1" applyAlignment="1" applyProtection="1">
      <alignment vertical="center"/>
      <protection locked="0"/>
    </xf>
    <xf numFmtId="1" fontId="48" fillId="28" borderId="22" xfId="0" applyNumberFormat="1" applyFont="1" applyFill="1" applyBorder="1" applyAlignment="1" applyProtection="1">
      <alignment horizontal="center" vertical="center" wrapText="1"/>
    </xf>
    <xf numFmtId="4" fontId="48" fillId="28" borderId="22" xfId="240" applyNumberFormat="1" applyFont="1" applyFill="1" applyBorder="1" applyAlignment="1" applyProtection="1">
      <alignment horizontal="right" vertical="center"/>
    </xf>
    <xf numFmtId="8" fontId="63" fillId="0" borderId="0" xfId="0" applyNumberFormat="1" applyFont="1" applyAlignment="1">
      <alignment horizontal="right" vertical="center"/>
    </xf>
    <xf numFmtId="4" fontId="10" fillId="24" borderId="0" xfId="240" applyNumberFormat="1" applyFont="1" applyFill="1" applyBorder="1" applyAlignment="1" applyProtection="1">
      <alignment vertical="center" wrapText="1"/>
    </xf>
    <xf numFmtId="0" fontId="46" fillId="24" borderId="14" xfId="156" applyFont="1" applyFill="1" applyBorder="1" applyAlignment="1" applyProtection="1">
      <alignment horizontal="justify" vertical="center" wrapText="1"/>
    </xf>
    <xf numFmtId="0" fontId="45" fillId="0" borderId="12" xfId="156" applyFont="1" applyFill="1" applyBorder="1" applyAlignment="1" applyProtection="1">
      <alignment horizontal="center" vertical="center"/>
    </xf>
    <xf numFmtId="0" fontId="45" fillId="25" borderId="12" xfId="156" applyFont="1" applyFill="1" applyBorder="1" applyAlignment="1" applyProtection="1">
      <alignment horizontal="center" vertical="center"/>
    </xf>
    <xf numFmtId="0" fontId="45" fillId="27" borderId="19" xfId="156" applyFont="1" applyFill="1" applyBorder="1" applyAlignment="1" applyProtection="1">
      <alignment vertical="center" wrapText="1"/>
    </xf>
    <xf numFmtId="0" fontId="45" fillId="27" borderId="16" xfId="156" applyFont="1" applyFill="1" applyBorder="1" applyAlignment="1" applyProtection="1">
      <alignment vertical="center"/>
    </xf>
    <xf numFmtId="0" fontId="46" fillId="24" borderId="12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0" borderId="16" xfId="156" applyFont="1" applyFill="1" applyBorder="1" applyAlignment="1" applyProtection="1">
      <alignment horizontal="left" vertical="center" wrapText="1"/>
    </xf>
    <xf numFmtId="0" fontId="45" fillId="27" borderId="13" xfId="156" applyFont="1" applyFill="1" applyBorder="1" applyAlignment="1" applyProtection="1">
      <alignment horizontal="left" vertical="center" wrapText="1"/>
    </xf>
    <xf numFmtId="0" fontId="45" fillId="24" borderId="17" xfId="156" applyFont="1" applyFill="1" applyBorder="1" applyAlignment="1" applyProtection="1">
      <alignment horizontal="right" vertical="center"/>
    </xf>
    <xf numFmtId="0" fontId="59" fillId="0" borderId="0" xfId="156" applyFont="1" applyAlignment="1" applyProtection="1">
      <alignment horizontal="center" vertical="center"/>
    </xf>
    <xf numFmtId="0" fontId="3" fillId="0" borderId="0" xfId="156" applyFont="1" applyFill="1" applyBorder="1" applyAlignment="1" applyProtection="1">
      <alignment horizontal="left" vertical="center" wrapText="1"/>
    </xf>
    <xf numFmtId="0" fontId="4" fillId="0" borderId="0" xfId="156" applyFont="1" applyFill="1" applyBorder="1" applyAlignment="1" applyProtection="1">
      <alignment horizontal="left"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4" xfId="156" applyFont="1" applyFill="1" applyBorder="1" applyAlignment="1" applyProtection="1">
      <alignment horizontal="left" vertical="center"/>
    </xf>
    <xf numFmtId="0" fontId="45" fillId="27" borderId="18" xfId="156" applyFont="1" applyFill="1" applyBorder="1" applyAlignment="1" applyProtection="1">
      <alignment horizontal="left" vertical="center" wrapText="1"/>
    </xf>
    <xf numFmtId="0" fontId="45" fillId="27" borderId="10" xfId="156" applyFont="1" applyFill="1" applyBorder="1" applyAlignment="1" applyProtection="1">
      <alignment horizontal="left" vertical="center" wrapText="1"/>
    </xf>
    <xf numFmtId="0" fontId="46" fillId="24" borderId="0" xfId="156" applyFont="1" applyFill="1" applyBorder="1" applyAlignment="1" applyProtection="1">
      <alignment horizontal="justify" vertical="center" wrapText="1"/>
    </xf>
    <xf numFmtId="0" fontId="46" fillId="24" borderId="12" xfId="156" applyFont="1" applyFill="1" applyBorder="1" applyAlignment="1" applyProtection="1">
      <alignment horizontal="left" vertical="center" wrapText="1"/>
    </xf>
    <xf numFmtId="0" fontId="46" fillId="24" borderId="13" xfId="156" applyFont="1" applyFill="1" applyBorder="1" applyAlignment="1" applyProtection="1">
      <alignment vertical="center" wrapText="1"/>
    </xf>
    <xf numFmtId="0" fontId="45" fillId="27" borderId="18" xfId="156" applyFont="1" applyFill="1" applyBorder="1" applyAlignment="1" applyProtection="1">
      <alignment vertical="center" wrapText="1"/>
    </xf>
    <xf numFmtId="0" fontId="42" fillId="27" borderId="18" xfId="155" applyFont="1" applyFill="1" applyBorder="1" applyAlignment="1" applyProtection="1">
      <alignment vertical="center"/>
    </xf>
    <xf numFmtId="0" fontId="45" fillId="25" borderId="10" xfId="156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>
      <alignment horizontal="justify" vertical="justify"/>
    </xf>
    <xf numFmtId="0" fontId="45" fillId="25" borderId="13" xfId="157" applyFont="1" applyFill="1" applyBorder="1" applyAlignment="1" applyProtection="1">
      <alignment horizontal="center" vertical="center" wrapText="1"/>
    </xf>
    <xf numFmtId="0" fontId="46" fillId="0" borderId="0" xfId="157" applyFont="1" applyBorder="1" applyAlignment="1" applyProtection="1">
      <alignment horizontal="center" vertical="center" wrapText="1"/>
    </xf>
    <xf numFmtId="0" fontId="42" fillId="29" borderId="22" xfId="155" applyFont="1" applyFill="1" applyBorder="1" applyAlignment="1" applyProtection="1">
      <alignment horizontal="left" vertical="center" wrapText="1"/>
    </xf>
    <xf numFmtId="0" fontId="45" fillId="29" borderId="13" xfId="157" applyFont="1" applyFill="1" applyBorder="1" applyAlignment="1" applyProtection="1">
      <alignment horizontal="center" vertical="center"/>
    </xf>
    <xf numFmtId="0" fontId="56" fillId="31" borderId="0" xfId="156" applyFont="1" applyFill="1" applyAlignment="1">
      <alignment horizontal="left" vertical="center" wrapText="1"/>
    </xf>
    <xf numFmtId="0" fontId="56" fillId="31" borderId="0" xfId="156" applyFont="1" applyFill="1" applyAlignment="1">
      <alignment horizontal="left" vertical="center"/>
    </xf>
    <xf numFmtId="0" fontId="42" fillId="27" borderId="22" xfId="155" applyFont="1" applyFill="1" applyBorder="1" applyAlignment="1" applyProtection="1">
      <alignment vertical="center"/>
      <protection locked="0"/>
    </xf>
    <xf numFmtId="0" fontId="42" fillId="29" borderId="15" xfId="156" applyFont="1" applyFill="1" applyBorder="1" applyAlignment="1">
      <alignment horizontal="center" vertical="center" wrapText="1"/>
    </xf>
    <xf numFmtId="0" fontId="42" fillId="29" borderId="20" xfId="156" applyFont="1" applyFill="1" applyBorder="1" applyAlignment="1">
      <alignment horizontal="center" vertical="center" wrapText="1"/>
    </xf>
    <xf numFmtId="0" fontId="45" fillId="27" borderId="15" xfId="157" applyFont="1" applyFill="1" applyBorder="1" applyAlignment="1" applyProtection="1">
      <alignment horizontal="center" vertical="center" wrapText="1"/>
    </xf>
    <xf numFmtId="0" fontId="45" fillId="27" borderId="20" xfId="157" applyFont="1" applyFill="1" applyBorder="1" applyAlignment="1" applyProtection="1">
      <alignment horizontal="center" vertical="center" wrapText="1"/>
    </xf>
    <xf numFmtId="0" fontId="42" fillId="27" borderId="22" xfId="155" applyFont="1" applyFill="1" applyBorder="1" applyAlignment="1" applyProtection="1">
      <alignment horizontal="left" vertical="center"/>
      <protection locked="0"/>
    </xf>
    <xf numFmtId="0" fontId="46" fillId="0" borderId="22" xfId="156" applyFont="1" applyBorder="1" applyAlignment="1">
      <alignment vertical="center"/>
    </xf>
    <xf numFmtId="0" fontId="42" fillId="24" borderId="22" xfId="155" applyFont="1" applyFill="1" applyBorder="1" applyAlignment="1" applyProtection="1">
      <alignment horizontal="left" vertical="center"/>
      <protection locked="0"/>
    </xf>
    <xf numFmtId="0" fontId="48" fillId="25" borderId="22" xfId="0" applyFont="1" applyFill="1" applyBorder="1" applyAlignment="1" applyProtection="1">
      <alignment horizontal="center" vertical="center"/>
    </xf>
    <xf numFmtId="0" fontId="48" fillId="0" borderId="0" xfId="0" applyFont="1" applyFill="1" applyBorder="1" applyAlignment="1" applyProtection="1">
      <alignment horizontal="center" vertical="center"/>
      <protection locked="0"/>
    </xf>
  </cellXfs>
  <cellStyles count="249">
    <cellStyle name="20% - Ênfase1 2" xfId="1" xr:uid="{00000000-0005-0000-0000-000000000000}"/>
    <cellStyle name="20% - Ênfase1 2 2" xfId="2" xr:uid="{00000000-0005-0000-0000-000001000000}"/>
    <cellStyle name="20% - Ênfase1 3" xfId="3" xr:uid="{00000000-0005-0000-0000-000002000000}"/>
    <cellStyle name="20% - Ênfase1 3 2" xfId="4" xr:uid="{00000000-0005-0000-0000-000003000000}"/>
    <cellStyle name="20% - Ênfase2 2" xfId="5" xr:uid="{00000000-0005-0000-0000-000004000000}"/>
    <cellStyle name="20% - Ênfase2 2 2" xfId="6" xr:uid="{00000000-0005-0000-0000-000005000000}"/>
    <cellStyle name="20% - Ênfase2 3" xfId="7" xr:uid="{00000000-0005-0000-0000-000006000000}"/>
    <cellStyle name="20% - Ênfase2 3 2" xfId="8" xr:uid="{00000000-0005-0000-0000-000007000000}"/>
    <cellStyle name="20% - Ênfase3 2" xfId="9" xr:uid="{00000000-0005-0000-0000-000008000000}"/>
    <cellStyle name="20% - Ênfase3 2 2" xfId="10" xr:uid="{00000000-0005-0000-0000-000009000000}"/>
    <cellStyle name="20% - Ênfase3 3" xfId="11" xr:uid="{00000000-0005-0000-0000-00000A000000}"/>
    <cellStyle name="20% - Ênfase3 3 2" xfId="12" xr:uid="{00000000-0005-0000-0000-00000B000000}"/>
    <cellStyle name="20% - Ênfase4 2" xfId="13" xr:uid="{00000000-0005-0000-0000-00000C000000}"/>
    <cellStyle name="20% - Ênfase4 2 2" xfId="14" xr:uid="{00000000-0005-0000-0000-00000D000000}"/>
    <cellStyle name="20% - Ênfase4 3" xfId="15" xr:uid="{00000000-0005-0000-0000-00000E000000}"/>
    <cellStyle name="20% - Ênfase4 3 2" xfId="16" xr:uid="{00000000-0005-0000-0000-00000F000000}"/>
    <cellStyle name="20% - Ênfase5 2" xfId="17" xr:uid="{00000000-0005-0000-0000-000010000000}"/>
    <cellStyle name="20% - Ênfase5 2 2" xfId="18" xr:uid="{00000000-0005-0000-0000-000011000000}"/>
    <cellStyle name="20% - Ênfase5 3" xfId="19" xr:uid="{00000000-0005-0000-0000-000012000000}"/>
    <cellStyle name="20% - Ênfase5 3 2" xfId="20" xr:uid="{00000000-0005-0000-0000-000013000000}"/>
    <cellStyle name="20% - Ênfase6 2" xfId="21" xr:uid="{00000000-0005-0000-0000-000014000000}"/>
    <cellStyle name="20% - Ênfase6 2 2" xfId="22" xr:uid="{00000000-0005-0000-0000-000015000000}"/>
    <cellStyle name="20% - Ênfase6 3" xfId="23" xr:uid="{00000000-0005-0000-0000-000016000000}"/>
    <cellStyle name="20% - Ênfase6 3 2" xfId="24" xr:uid="{00000000-0005-0000-0000-000017000000}"/>
    <cellStyle name="40% - Ênfase1 2" xfId="25" xr:uid="{00000000-0005-0000-0000-000018000000}"/>
    <cellStyle name="40% - Ênfase1 2 2" xfId="26" xr:uid="{00000000-0005-0000-0000-000019000000}"/>
    <cellStyle name="40% - Ênfase1 3" xfId="27" xr:uid="{00000000-0005-0000-0000-00001A000000}"/>
    <cellStyle name="40% - Ênfase1 3 2" xfId="28" xr:uid="{00000000-0005-0000-0000-00001B000000}"/>
    <cellStyle name="40% - Ênfase2 2" xfId="29" xr:uid="{00000000-0005-0000-0000-00001C000000}"/>
    <cellStyle name="40% - Ênfase2 2 2" xfId="30" xr:uid="{00000000-0005-0000-0000-00001D000000}"/>
    <cellStyle name="40% - Ênfase2 3" xfId="31" xr:uid="{00000000-0005-0000-0000-00001E000000}"/>
    <cellStyle name="40% - Ênfase2 3 2" xfId="32" xr:uid="{00000000-0005-0000-0000-00001F000000}"/>
    <cellStyle name="40% - Ênfase3 2" xfId="33" xr:uid="{00000000-0005-0000-0000-000020000000}"/>
    <cellStyle name="40% - Ênfase3 2 2" xfId="34" xr:uid="{00000000-0005-0000-0000-000021000000}"/>
    <cellStyle name="40% - Ênfase3 3" xfId="35" xr:uid="{00000000-0005-0000-0000-000022000000}"/>
    <cellStyle name="40% - Ênfase3 3 2" xfId="36" xr:uid="{00000000-0005-0000-0000-000023000000}"/>
    <cellStyle name="40% - Ênfase4 2" xfId="37" xr:uid="{00000000-0005-0000-0000-000024000000}"/>
    <cellStyle name="40% - Ênfase4 2 2" xfId="38" xr:uid="{00000000-0005-0000-0000-000025000000}"/>
    <cellStyle name="40% - Ênfase4 3" xfId="39" xr:uid="{00000000-0005-0000-0000-000026000000}"/>
    <cellStyle name="40% - Ênfase4 3 2" xfId="40" xr:uid="{00000000-0005-0000-0000-000027000000}"/>
    <cellStyle name="40% - Ênfase5 2" xfId="41" xr:uid="{00000000-0005-0000-0000-000028000000}"/>
    <cellStyle name="40% - Ênfase5 2 2" xfId="42" xr:uid="{00000000-0005-0000-0000-000029000000}"/>
    <cellStyle name="40% - Ênfase5 3" xfId="43" xr:uid="{00000000-0005-0000-0000-00002A000000}"/>
    <cellStyle name="40% - Ênfase5 3 2" xfId="44" xr:uid="{00000000-0005-0000-0000-00002B000000}"/>
    <cellStyle name="40% - Ênfase6 2" xfId="45" xr:uid="{00000000-0005-0000-0000-00002C000000}"/>
    <cellStyle name="40% - Ênfase6 2 2" xfId="46" xr:uid="{00000000-0005-0000-0000-00002D000000}"/>
    <cellStyle name="40% - Ênfase6 3" xfId="47" xr:uid="{00000000-0005-0000-0000-00002E000000}"/>
    <cellStyle name="40% - Ênfase6 3 2" xfId="48" xr:uid="{00000000-0005-0000-0000-00002F000000}"/>
    <cellStyle name="60% - Ênfase1 2" xfId="49" xr:uid="{00000000-0005-0000-0000-000030000000}"/>
    <cellStyle name="60% - Ênfase1 2 2" xfId="50" xr:uid="{00000000-0005-0000-0000-000031000000}"/>
    <cellStyle name="60% - Ênfase1 3" xfId="51" xr:uid="{00000000-0005-0000-0000-000032000000}"/>
    <cellStyle name="60% - Ênfase1 3 2" xfId="52" xr:uid="{00000000-0005-0000-0000-000033000000}"/>
    <cellStyle name="60% - Ênfase2 2" xfId="53" xr:uid="{00000000-0005-0000-0000-000034000000}"/>
    <cellStyle name="60% - Ênfase2 2 2" xfId="54" xr:uid="{00000000-0005-0000-0000-000035000000}"/>
    <cellStyle name="60% - Ênfase2 3" xfId="55" xr:uid="{00000000-0005-0000-0000-000036000000}"/>
    <cellStyle name="60% - Ênfase2 3 2" xfId="56" xr:uid="{00000000-0005-0000-0000-000037000000}"/>
    <cellStyle name="60% - Ênfase3 2" xfId="57" xr:uid="{00000000-0005-0000-0000-000038000000}"/>
    <cellStyle name="60% - Ênfase3 2 2" xfId="58" xr:uid="{00000000-0005-0000-0000-000039000000}"/>
    <cellStyle name="60% - Ênfase3 3" xfId="59" xr:uid="{00000000-0005-0000-0000-00003A000000}"/>
    <cellStyle name="60% - Ênfase3 3 2" xfId="60" xr:uid="{00000000-0005-0000-0000-00003B000000}"/>
    <cellStyle name="60% - Ênfase4 2" xfId="61" xr:uid="{00000000-0005-0000-0000-00003C000000}"/>
    <cellStyle name="60% - Ênfase4 2 2" xfId="62" xr:uid="{00000000-0005-0000-0000-00003D000000}"/>
    <cellStyle name="60% - Ênfase4 3" xfId="63" xr:uid="{00000000-0005-0000-0000-00003E000000}"/>
    <cellStyle name="60% - Ênfase4 3 2" xfId="64" xr:uid="{00000000-0005-0000-0000-00003F000000}"/>
    <cellStyle name="60% - Ênfase5 2" xfId="65" xr:uid="{00000000-0005-0000-0000-000040000000}"/>
    <cellStyle name="60% - Ênfase5 2 2" xfId="66" xr:uid="{00000000-0005-0000-0000-000041000000}"/>
    <cellStyle name="60% - Ênfase5 3" xfId="67" xr:uid="{00000000-0005-0000-0000-000042000000}"/>
    <cellStyle name="60% - Ênfase5 3 2" xfId="68" xr:uid="{00000000-0005-0000-0000-000043000000}"/>
    <cellStyle name="60% - Ênfase6 2" xfId="69" xr:uid="{00000000-0005-0000-0000-000044000000}"/>
    <cellStyle name="60% - Ênfase6 2 2" xfId="70" xr:uid="{00000000-0005-0000-0000-000045000000}"/>
    <cellStyle name="60% - Ênfase6 3" xfId="71" xr:uid="{00000000-0005-0000-0000-000046000000}"/>
    <cellStyle name="60% - Ênfase6 3 2" xfId="72" xr:uid="{00000000-0005-0000-0000-000047000000}"/>
    <cellStyle name="Bom 2" xfId="73" xr:uid="{00000000-0005-0000-0000-000048000000}"/>
    <cellStyle name="Bom 2 2" xfId="74" xr:uid="{00000000-0005-0000-0000-000049000000}"/>
    <cellStyle name="Bom 3" xfId="75" xr:uid="{00000000-0005-0000-0000-00004A000000}"/>
    <cellStyle name="Bom 3 2" xfId="76" xr:uid="{00000000-0005-0000-0000-00004B000000}"/>
    <cellStyle name="Cálculo 2" xfId="77" xr:uid="{00000000-0005-0000-0000-00004C000000}"/>
    <cellStyle name="Cálculo 2 2" xfId="78" xr:uid="{00000000-0005-0000-0000-00004D000000}"/>
    <cellStyle name="Cálculo 3" xfId="79" xr:uid="{00000000-0005-0000-0000-00004E000000}"/>
    <cellStyle name="Cálculo 3 2" xfId="80" xr:uid="{00000000-0005-0000-0000-00004F000000}"/>
    <cellStyle name="Cancel" xfId="81" xr:uid="{00000000-0005-0000-0000-000050000000}"/>
    <cellStyle name="Cancel 2" xfId="82" xr:uid="{00000000-0005-0000-0000-000051000000}"/>
    <cellStyle name="Cancel 3" xfId="83" xr:uid="{00000000-0005-0000-0000-000052000000}"/>
    <cellStyle name="Célula de Verificação 2" xfId="84" xr:uid="{00000000-0005-0000-0000-000053000000}"/>
    <cellStyle name="Célula de Verificação 2 2" xfId="85" xr:uid="{00000000-0005-0000-0000-000054000000}"/>
    <cellStyle name="Célula de Verificação 3" xfId="86" xr:uid="{00000000-0005-0000-0000-000055000000}"/>
    <cellStyle name="Célula de Verificação 3 2" xfId="87" xr:uid="{00000000-0005-0000-0000-000056000000}"/>
    <cellStyle name="Célula Vinculada 2" xfId="88" xr:uid="{00000000-0005-0000-0000-000057000000}"/>
    <cellStyle name="Célula Vinculada 2 2" xfId="89" xr:uid="{00000000-0005-0000-0000-000058000000}"/>
    <cellStyle name="Célula Vinculada 3" xfId="90" xr:uid="{00000000-0005-0000-0000-000059000000}"/>
    <cellStyle name="Célula Vinculada 3 2" xfId="91" xr:uid="{00000000-0005-0000-0000-00005A000000}"/>
    <cellStyle name="Ênfase1 2" xfId="92" xr:uid="{00000000-0005-0000-0000-00005B000000}"/>
    <cellStyle name="Ênfase1 2 2" xfId="93" xr:uid="{00000000-0005-0000-0000-00005C000000}"/>
    <cellStyle name="Ênfase1 3" xfId="94" xr:uid="{00000000-0005-0000-0000-00005D000000}"/>
    <cellStyle name="Ênfase1 3 2" xfId="95" xr:uid="{00000000-0005-0000-0000-00005E000000}"/>
    <cellStyle name="Ênfase2 2" xfId="96" xr:uid="{00000000-0005-0000-0000-00005F000000}"/>
    <cellStyle name="Ênfase2 2 2" xfId="97" xr:uid="{00000000-0005-0000-0000-000060000000}"/>
    <cellStyle name="Ênfase2 3" xfId="98" xr:uid="{00000000-0005-0000-0000-000061000000}"/>
    <cellStyle name="Ênfase2 3 2" xfId="99" xr:uid="{00000000-0005-0000-0000-000062000000}"/>
    <cellStyle name="Ênfase3 2" xfId="100" xr:uid="{00000000-0005-0000-0000-000063000000}"/>
    <cellStyle name="Ênfase3 2 2" xfId="101" xr:uid="{00000000-0005-0000-0000-000064000000}"/>
    <cellStyle name="Ênfase3 3" xfId="102" xr:uid="{00000000-0005-0000-0000-000065000000}"/>
    <cellStyle name="Ênfase3 3 2" xfId="103" xr:uid="{00000000-0005-0000-0000-000066000000}"/>
    <cellStyle name="Ênfase4 2" xfId="104" xr:uid="{00000000-0005-0000-0000-000067000000}"/>
    <cellStyle name="Ênfase4 2 2" xfId="105" xr:uid="{00000000-0005-0000-0000-000068000000}"/>
    <cellStyle name="Ênfase4 3" xfId="106" xr:uid="{00000000-0005-0000-0000-000069000000}"/>
    <cellStyle name="Ênfase4 3 2" xfId="107" xr:uid="{00000000-0005-0000-0000-00006A000000}"/>
    <cellStyle name="Ênfase5 2" xfId="108" xr:uid="{00000000-0005-0000-0000-00006B000000}"/>
    <cellStyle name="Ênfase5 2 2" xfId="109" xr:uid="{00000000-0005-0000-0000-00006C000000}"/>
    <cellStyle name="Ênfase5 3" xfId="110" xr:uid="{00000000-0005-0000-0000-00006D000000}"/>
    <cellStyle name="Ênfase5 3 2" xfId="111" xr:uid="{00000000-0005-0000-0000-00006E000000}"/>
    <cellStyle name="Ênfase6 2" xfId="112" xr:uid="{00000000-0005-0000-0000-00006F000000}"/>
    <cellStyle name="Ênfase6 2 2" xfId="113" xr:uid="{00000000-0005-0000-0000-000070000000}"/>
    <cellStyle name="Ênfase6 3" xfId="114" xr:uid="{00000000-0005-0000-0000-000071000000}"/>
    <cellStyle name="Ênfase6 3 2" xfId="115" xr:uid="{00000000-0005-0000-0000-000072000000}"/>
    <cellStyle name="Entrada 2" xfId="116" xr:uid="{00000000-0005-0000-0000-000073000000}"/>
    <cellStyle name="Entrada 2 2" xfId="117" xr:uid="{00000000-0005-0000-0000-000074000000}"/>
    <cellStyle name="Entrada 3" xfId="118" xr:uid="{00000000-0005-0000-0000-000075000000}"/>
    <cellStyle name="Entrada 3 2" xfId="119" xr:uid="{00000000-0005-0000-0000-000076000000}"/>
    <cellStyle name="Hyperlink 2" xfId="120" xr:uid="{00000000-0005-0000-0000-000077000000}"/>
    <cellStyle name="Incorreto 2" xfId="121" xr:uid="{00000000-0005-0000-0000-000078000000}"/>
    <cellStyle name="Incorreto 2 2" xfId="122" xr:uid="{00000000-0005-0000-0000-000079000000}"/>
    <cellStyle name="Incorreto 3" xfId="123" xr:uid="{00000000-0005-0000-0000-00007A000000}"/>
    <cellStyle name="Incorreto 3 2" xfId="124" xr:uid="{00000000-0005-0000-0000-00007B000000}"/>
    <cellStyle name="Moeda 10" xfId="125" xr:uid="{00000000-0005-0000-0000-00007C000000}"/>
    <cellStyle name="Moeda 10 2" xfId="126" xr:uid="{00000000-0005-0000-0000-00007D000000}"/>
    <cellStyle name="Moeda 11" xfId="127" xr:uid="{00000000-0005-0000-0000-00007E000000}"/>
    <cellStyle name="Moeda 11 2" xfId="128" xr:uid="{00000000-0005-0000-0000-00007F000000}"/>
    <cellStyle name="Moeda 12" xfId="129" xr:uid="{00000000-0005-0000-0000-000080000000}"/>
    <cellStyle name="Moeda 13" xfId="130" xr:uid="{00000000-0005-0000-0000-000081000000}"/>
    <cellStyle name="Moeda 2" xfId="131" xr:uid="{00000000-0005-0000-0000-000082000000}"/>
    <cellStyle name="Moeda 2 2" xfId="132" xr:uid="{00000000-0005-0000-0000-000083000000}"/>
    <cellStyle name="Moeda 2 2 2" xfId="133" xr:uid="{00000000-0005-0000-0000-000084000000}"/>
    <cellStyle name="Moeda 2 3" xfId="134" xr:uid="{00000000-0005-0000-0000-000085000000}"/>
    <cellStyle name="Moeda 2 4" xfId="135" xr:uid="{00000000-0005-0000-0000-000086000000}"/>
    <cellStyle name="Moeda 2 5" xfId="136" xr:uid="{00000000-0005-0000-0000-000087000000}"/>
    <cellStyle name="Moeda 3" xfId="137" xr:uid="{00000000-0005-0000-0000-000088000000}"/>
    <cellStyle name="Moeda 3 2" xfId="138" xr:uid="{00000000-0005-0000-0000-000089000000}"/>
    <cellStyle name="Moeda 4" xfId="139" xr:uid="{00000000-0005-0000-0000-00008A000000}"/>
    <cellStyle name="Moeda 5" xfId="140" xr:uid="{00000000-0005-0000-0000-00008B000000}"/>
    <cellStyle name="Moeda 6" xfId="141" xr:uid="{00000000-0005-0000-0000-00008C000000}"/>
    <cellStyle name="Moeda 7" xfId="142" xr:uid="{00000000-0005-0000-0000-00008D000000}"/>
    <cellStyle name="Moeda 7 2" xfId="143" xr:uid="{00000000-0005-0000-0000-00008E000000}"/>
    <cellStyle name="Moeda 7 2 2" xfId="144" xr:uid="{00000000-0005-0000-0000-00008F000000}"/>
    <cellStyle name="Moeda 7 2 3" xfId="145" xr:uid="{00000000-0005-0000-0000-000090000000}"/>
    <cellStyle name="Moeda 7 3" xfId="146" xr:uid="{00000000-0005-0000-0000-000091000000}"/>
    <cellStyle name="Moeda 8" xfId="147" xr:uid="{00000000-0005-0000-0000-000092000000}"/>
    <cellStyle name="Moeda 8 2" xfId="148" xr:uid="{00000000-0005-0000-0000-000093000000}"/>
    <cellStyle name="Moeda 9" xfId="149" xr:uid="{00000000-0005-0000-0000-000094000000}"/>
    <cellStyle name="Moeda 9 2" xfId="150" xr:uid="{00000000-0005-0000-0000-000095000000}"/>
    <cellStyle name="Neutra 2" xfId="151" xr:uid="{00000000-0005-0000-0000-000096000000}"/>
    <cellStyle name="Neutra 2 2" xfId="152" xr:uid="{00000000-0005-0000-0000-000097000000}"/>
    <cellStyle name="Neutra 3" xfId="153" xr:uid="{00000000-0005-0000-0000-000098000000}"/>
    <cellStyle name="Neutra 3 2" xfId="154" xr:uid="{00000000-0005-0000-0000-000099000000}"/>
    <cellStyle name="Normal" xfId="0" builtinId="0"/>
    <cellStyle name="Normal 2" xfId="155" xr:uid="{00000000-0005-0000-0000-00009B000000}"/>
    <cellStyle name="Normal 2 2" xfId="156" xr:uid="{00000000-0005-0000-0000-00009C000000}"/>
    <cellStyle name="Normal 2 2 2" xfId="245" xr:uid="{00000000-0005-0000-0000-00009D000000}"/>
    <cellStyle name="Normal 2 3" xfId="246" xr:uid="{00000000-0005-0000-0000-00009E000000}"/>
    <cellStyle name="Normal 3" xfId="157" xr:uid="{00000000-0005-0000-0000-00009F000000}"/>
    <cellStyle name="Normal 3 2" xfId="158" xr:uid="{00000000-0005-0000-0000-0000A0000000}"/>
    <cellStyle name="Normal 3 2 2" xfId="159" xr:uid="{00000000-0005-0000-0000-0000A1000000}"/>
    <cellStyle name="Normal 3 2 3" xfId="160" xr:uid="{00000000-0005-0000-0000-0000A2000000}"/>
    <cellStyle name="Normal 4" xfId="161" xr:uid="{00000000-0005-0000-0000-0000A3000000}"/>
    <cellStyle name="Normal 5" xfId="162" xr:uid="{00000000-0005-0000-0000-0000A4000000}"/>
    <cellStyle name="Normal 6 2" xfId="163" xr:uid="{00000000-0005-0000-0000-0000A5000000}"/>
    <cellStyle name="Normal 6 3" xfId="164" xr:uid="{00000000-0005-0000-0000-0000A6000000}"/>
    <cellStyle name="Normal 7" xfId="165" xr:uid="{00000000-0005-0000-0000-0000A7000000}"/>
    <cellStyle name="Normal 8" xfId="166" xr:uid="{00000000-0005-0000-0000-0000A8000000}"/>
    <cellStyle name="Normal 8 2" xfId="167" xr:uid="{00000000-0005-0000-0000-0000A9000000}"/>
    <cellStyle name="Normal 8 3" xfId="168" xr:uid="{00000000-0005-0000-0000-0000AA000000}"/>
    <cellStyle name="Normal_Plan1" xfId="169" xr:uid="{00000000-0005-0000-0000-0000AB000000}"/>
    <cellStyle name="Nota 2" xfId="170" xr:uid="{00000000-0005-0000-0000-0000AC000000}"/>
    <cellStyle name="Nota 2 2" xfId="171" xr:uid="{00000000-0005-0000-0000-0000AD000000}"/>
    <cellStyle name="Nota 3" xfId="172" xr:uid="{00000000-0005-0000-0000-0000AE000000}"/>
    <cellStyle name="Nota 3 2" xfId="173" xr:uid="{00000000-0005-0000-0000-0000AF000000}"/>
    <cellStyle name="Porcentagem" xfId="174" builtinId="5"/>
    <cellStyle name="Porcentagem 10 2" xfId="175" xr:uid="{00000000-0005-0000-0000-0000B1000000}"/>
    <cellStyle name="Porcentagem 10 3" xfId="176" xr:uid="{00000000-0005-0000-0000-0000B2000000}"/>
    <cellStyle name="Porcentagem 11" xfId="177" xr:uid="{00000000-0005-0000-0000-0000B3000000}"/>
    <cellStyle name="Porcentagem 12" xfId="178" xr:uid="{00000000-0005-0000-0000-0000B4000000}"/>
    <cellStyle name="Porcentagem 12 2" xfId="248" xr:uid="{00000000-0005-0000-0000-0000B5000000}"/>
    <cellStyle name="Porcentagem 13" xfId="179" xr:uid="{00000000-0005-0000-0000-0000B6000000}"/>
    <cellStyle name="Porcentagem 2" xfId="180" xr:uid="{00000000-0005-0000-0000-0000B7000000}"/>
    <cellStyle name="Porcentagem 2 2" xfId="181" xr:uid="{00000000-0005-0000-0000-0000B8000000}"/>
    <cellStyle name="Porcentagem 2 3" xfId="182" xr:uid="{00000000-0005-0000-0000-0000B9000000}"/>
    <cellStyle name="Porcentagem 3" xfId="183" xr:uid="{00000000-0005-0000-0000-0000BA000000}"/>
    <cellStyle name="Porcentagem 4" xfId="184" xr:uid="{00000000-0005-0000-0000-0000BB000000}"/>
    <cellStyle name="Porcentagem 5" xfId="185" xr:uid="{00000000-0005-0000-0000-0000BC000000}"/>
    <cellStyle name="Porcentagem 5 2" xfId="186" xr:uid="{00000000-0005-0000-0000-0000BD000000}"/>
    <cellStyle name="Porcentagem 6" xfId="187" xr:uid="{00000000-0005-0000-0000-0000BE000000}"/>
    <cellStyle name="Porcentagem 6 2" xfId="188" xr:uid="{00000000-0005-0000-0000-0000BF000000}"/>
    <cellStyle name="Porcentagem 7" xfId="189" xr:uid="{00000000-0005-0000-0000-0000C0000000}"/>
    <cellStyle name="Porcentagem 7 2" xfId="190" xr:uid="{00000000-0005-0000-0000-0000C1000000}"/>
    <cellStyle name="Porcentagem 8" xfId="191" xr:uid="{00000000-0005-0000-0000-0000C2000000}"/>
    <cellStyle name="Porcentagem 8 2" xfId="192" xr:uid="{00000000-0005-0000-0000-0000C3000000}"/>
    <cellStyle name="Porcentagem 9" xfId="193" xr:uid="{00000000-0005-0000-0000-0000C4000000}"/>
    <cellStyle name="Saída 2" xfId="194" xr:uid="{00000000-0005-0000-0000-0000C5000000}"/>
    <cellStyle name="Saída 2 2" xfId="195" xr:uid="{00000000-0005-0000-0000-0000C6000000}"/>
    <cellStyle name="Saída 3" xfId="196" xr:uid="{00000000-0005-0000-0000-0000C7000000}"/>
    <cellStyle name="Saída 3 2" xfId="197" xr:uid="{00000000-0005-0000-0000-0000C8000000}"/>
    <cellStyle name="Separador de milhares 10" xfId="198" xr:uid="{00000000-0005-0000-0000-0000C9000000}"/>
    <cellStyle name="Separador de milhares 10 2" xfId="199" xr:uid="{00000000-0005-0000-0000-0000CA000000}"/>
    <cellStyle name="Separador de milhares 2" xfId="200" xr:uid="{00000000-0005-0000-0000-0000CB000000}"/>
    <cellStyle name="Separador de milhares 2 2" xfId="201" xr:uid="{00000000-0005-0000-0000-0000CC000000}"/>
    <cellStyle name="Separador de milhares 2 2 2" xfId="202" xr:uid="{00000000-0005-0000-0000-0000CD000000}"/>
    <cellStyle name="Separador de milhares 2 3" xfId="203" xr:uid="{00000000-0005-0000-0000-0000CE000000}"/>
    <cellStyle name="Separador de milhares 3" xfId="204" xr:uid="{00000000-0005-0000-0000-0000CF000000}"/>
    <cellStyle name="Separador de milhares 4" xfId="205" xr:uid="{00000000-0005-0000-0000-0000D0000000}"/>
    <cellStyle name="Separador de milhares 4 2" xfId="206" xr:uid="{00000000-0005-0000-0000-0000D1000000}"/>
    <cellStyle name="Separador de milhares 5" xfId="207" xr:uid="{00000000-0005-0000-0000-0000D2000000}"/>
    <cellStyle name="Texto de Aviso 2" xfId="208" xr:uid="{00000000-0005-0000-0000-0000D3000000}"/>
    <cellStyle name="Texto de Aviso 2 2" xfId="209" xr:uid="{00000000-0005-0000-0000-0000D4000000}"/>
    <cellStyle name="Texto de Aviso 3" xfId="210" xr:uid="{00000000-0005-0000-0000-0000D5000000}"/>
    <cellStyle name="Texto de Aviso 3 2" xfId="211" xr:uid="{00000000-0005-0000-0000-0000D6000000}"/>
    <cellStyle name="Texto Explicativo 2" xfId="212" xr:uid="{00000000-0005-0000-0000-0000D7000000}"/>
    <cellStyle name="Texto Explicativo 2 2" xfId="213" xr:uid="{00000000-0005-0000-0000-0000D8000000}"/>
    <cellStyle name="Texto Explicativo 3" xfId="214" xr:uid="{00000000-0005-0000-0000-0000D9000000}"/>
    <cellStyle name="Texto Explicativo 3 2" xfId="215" xr:uid="{00000000-0005-0000-0000-0000DA000000}"/>
    <cellStyle name="Título 1 2" xfId="216" xr:uid="{00000000-0005-0000-0000-0000DB000000}"/>
    <cellStyle name="Título 1 2 2" xfId="217" xr:uid="{00000000-0005-0000-0000-0000DC000000}"/>
    <cellStyle name="Título 1 3" xfId="218" xr:uid="{00000000-0005-0000-0000-0000DD000000}"/>
    <cellStyle name="Título 1 3 2" xfId="219" xr:uid="{00000000-0005-0000-0000-0000DE000000}"/>
    <cellStyle name="Título 2 2" xfId="220" xr:uid="{00000000-0005-0000-0000-0000DF000000}"/>
    <cellStyle name="Título 2 2 2" xfId="221" xr:uid="{00000000-0005-0000-0000-0000E0000000}"/>
    <cellStyle name="Título 2 3" xfId="222" xr:uid="{00000000-0005-0000-0000-0000E1000000}"/>
    <cellStyle name="Título 2 3 2" xfId="223" xr:uid="{00000000-0005-0000-0000-0000E2000000}"/>
    <cellStyle name="Título 3 2" xfId="224" xr:uid="{00000000-0005-0000-0000-0000E3000000}"/>
    <cellStyle name="Título 3 2 2" xfId="225" xr:uid="{00000000-0005-0000-0000-0000E4000000}"/>
    <cellStyle name="Título 3 3" xfId="226" xr:uid="{00000000-0005-0000-0000-0000E5000000}"/>
    <cellStyle name="Título 3 3 2" xfId="227" xr:uid="{00000000-0005-0000-0000-0000E6000000}"/>
    <cellStyle name="Título 4 2" xfId="228" xr:uid="{00000000-0005-0000-0000-0000E7000000}"/>
    <cellStyle name="Título 4 2 2" xfId="229" xr:uid="{00000000-0005-0000-0000-0000E8000000}"/>
    <cellStyle name="Título 4 3" xfId="230" xr:uid="{00000000-0005-0000-0000-0000E9000000}"/>
    <cellStyle name="Título 4 3 2" xfId="231" xr:uid="{00000000-0005-0000-0000-0000EA000000}"/>
    <cellStyle name="Título 5" xfId="232" xr:uid="{00000000-0005-0000-0000-0000EB000000}"/>
    <cellStyle name="Título 5 2" xfId="233" xr:uid="{00000000-0005-0000-0000-0000EC000000}"/>
    <cellStyle name="Título 6" xfId="234" xr:uid="{00000000-0005-0000-0000-0000ED000000}"/>
    <cellStyle name="Título 6 2" xfId="235" xr:uid="{00000000-0005-0000-0000-0000EE000000}"/>
    <cellStyle name="Total 2" xfId="236" xr:uid="{00000000-0005-0000-0000-0000EF000000}"/>
    <cellStyle name="Total 2 2" xfId="237" xr:uid="{00000000-0005-0000-0000-0000F0000000}"/>
    <cellStyle name="Total 3" xfId="238" xr:uid="{00000000-0005-0000-0000-0000F1000000}"/>
    <cellStyle name="Total 3 2" xfId="239" xr:uid="{00000000-0005-0000-0000-0000F2000000}"/>
    <cellStyle name="Vírgula" xfId="240" builtinId="3"/>
    <cellStyle name="Vírgula 2" xfId="241" xr:uid="{00000000-0005-0000-0000-0000F4000000}"/>
    <cellStyle name="Vírgula 2 2" xfId="242" xr:uid="{00000000-0005-0000-0000-0000F5000000}"/>
    <cellStyle name="Vírgula 2 3" xfId="247" xr:uid="{00000000-0005-0000-0000-0000F6000000}"/>
    <cellStyle name="Vírgula 3" xfId="243" xr:uid="{00000000-0005-0000-0000-0000F7000000}"/>
    <cellStyle name="Vírgula 4" xfId="244" xr:uid="{00000000-0005-0000-0000-0000F8000000}"/>
  </cellStyles>
  <dxfs count="0"/>
  <tableStyles count="0" defaultTableStyle="TableStyleMedium9" defaultPivotStyle="PivotStyleLight16"/>
  <colors>
    <mruColors>
      <color rgb="FFFFCCFF"/>
      <color rgb="FFFF99CC"/>
      <color rgb="FFFF6699"/>
      <color rgb="FFE08ED6"/>
      <color rgb="FFCC3399"/>
      <color rgb="FFCC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$F$11" noThreeD="1"/>
</file>

<file path=xl/ctrlProps/ctrlProp2.xml><?xml version="1.0" encoding="utf-8"?>
<formControlPr xmlns="http://schemas.microsoft.com/office/spreadsheetml/2009/9/main" objectType="CheckBox" fmlaLink="$E$11" noThreeD="1"/>
</file>

<file path=xl/ctrlProps/ctrlProp3.xml><?xml version="1.0" encoding="utf-8"?>
<formControlPr xmlns="http://schemas.microsoft.com/office/spreadsheetml/2009/9/main" objectType="CheckBox" checked="Checked" fmlaLink="$F$9" noThreeD="1"/>
</file>

<file path=xl/ctrlProps/ctrlProp4.xml><?xml version="1.0" encoding="utf-8"?>
<formControlPr xmlns="http://schemas.microsoft.com/office/spreadsheetml/2009/9/main" objectType="CheckBox" fmlaLink="$E$9" noThreeD="1"/>
</file>

<file path=xl/ctrlProps/ctrlProp5.xml><?xml version="1.0" encoding="utf-8"?>
<formControlPr xmlns="http://schemas.microsoft.com/office/spreadsheetml/2009/9/main" objectType="CheckBox" checked="Checked" fmlaLink="$F$11" noThreeD="1"/>
</file>

<file path=xl/ctrlProps/ctrlProp6.xml><?xml version="1.0" encoding="utf-8"?>
<formControlPr xmlns="http://schemas.microsoft.com/office/spreadsheetml/2009/9/main" objectType="CheckBox" fmlaLink="$E$11" noThreeD="1"/>
</file>

<file path=xl/ctrlProps/ctrlProp7.xml><?xml version="1.0" encoding="utf-8"?>
<formControlPr xmlns="http://schemas.microsoft.com/office/spreadsheetml/2009/9/main" objectType="CheckBox" checked="Checked" fmlaLink="$F$9" noThreeD="1"/>
</file>

<file path=xl/ctrlProps/ctrlProp8.xml><?xml version="1.0" encoding="utf-8"?>
<formControlPr xmlns="http://schemas.microsoft.com/office/spreadsheetml/2009/9/main" objectType="CheckBox" fmlaLink="$E$9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66675</xdr:rowOff>
        </xdr:from>
        <xdr:to>
          <xdr:col>3</xdr:col>
          <xdr:colOff>1143000</xdr:colOff>
          <xdr:row>10</xdr:row>
          <xdr:rowOff>95250</xdr:rowOff>
        </xdr:to>
        <xdr:sp macro="" textlink="">
          <xdr:nvSpPr>
            <xdr:cNvPr id="38913" name="Check Box 1" descr="PERICULOSIDADE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0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8</xdr:row>
          <xdr:rowOff>9525</xdr:rowOff>
        </xdr:from>
        <xdr:to>
          <xdr:col>3</xdr:col>
          <xdr:colOff>1123950</xdr:colOff>
          <xdr:row>9</xdr:row>
          <xdr:rowOff>19050</xdr:rowOff>
        </xdr:to>
        <xdr:sp macro="" textlink="">
          <xdr:nvSpPr>
            <xdr:cNvPr id="38914" name="Check Box 2" descr="INSALUBRIDADE&#10;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0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38915" name="Object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0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66675</xdr:rowOff>
        </xdr:from>
        <xdr:to>
          <xdr:col>3</xdr:col>
          <xdr:colOff>1143000</xdr:colOff>
          <xdr:row>8</xdr:row>
          <xdr:rowOff>95250</xdr:rowOff>
        </xdr:to>
        <xdr:sp macro="" textlink="">
          <xdr:nvSpPr>
            <xdr:cNvPr id="18433" name="Check Box 1" descr="PERICULOSIDADE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6</xdr:row>
          <xdr:rowOff>9525</xdr:rowOff>
        </xdr:from>
        <xdr:to>
          <xdr:col>3</xdr:col>
          <xdr:colOff>1123950</xdr:colOff>
          <xdr:row>7</xdr:row>
          <xdr:rowOff>19050</xdr:rowOff>
        </xdr:to>
        <xdr:sp macro="" textlink="">
          <xdr:nvSpPr>
            <xdr:cNvPr id="18434" name="Check Box 2" descr="INSALUBRIDADE&#10;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1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18449" name="Object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1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66675</xdr:rowOff>
        </xdr:from>
        <xdr:to>
          <xdr:col>3</xdr:col>
          <xdr:colOff>1143000</xdr:colOff>
          <xdr:row>10</xdr:row>
          <xdr:rowOff>95250</xdr:rowOff>
        </xdr:to>
        <xdr:sp macro="" textlink="">
          <xdr:nvSpPr>
            <xdr:cNvPr id="49153" name="Check Box 1" descr="PERICULOSIDADE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2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8</xdr:row>
          <xdr:rowOff>9525</xdr:rowOff>
        </xdr:from>
        <xdr:to>
          <xdr:col>3</xdr:col>
          <xdr:colOff>1123950</xdr:colOff>
          <xdr:row>9</xdr:row>
          <xdr:rowOff>19050</xdr:rowOff>
        </xdr:to>
        <xdr:sp macro="" textlink="">
          <xdr:nvSpPr>
            <xdr:cNvPr id="49154" name="Check Box 2" descr="INSALUBRIDADE&#10;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2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2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66675</xdr:rowOff>
        </xdr:from>
        <xdr:to>
          <xdr:col>3</xdr:col>
          <xdr:colOff>1143000</xdr:colOff>
          <xdr:row>8</xdr:row>
          <xdr:rowOff>95250</xdr:rowOff>
        </xdr:to>
        <xdr:sp macro="" textlink="">
          <xdr:nvSpPr>
            <xdr:cNvPr id="28673" name="Check Box 1" descr="PERICULOSIDAD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3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6</xdr:row>
          <xdr:rowOff>9525</xdr:rowOff>
        </xdr:from>
        <xdr:to>
          <xdr:col>3</xdr:col>
          <xdr:colOff>1123950</xdr:colOff>
          <xdr:row>7</xdr:row>
          <xdr:rowOff>19050</xdr:rowOff>
        </xdr:to>
        <xdr:sp macro="" textlink="">
          <xdr:nvSpPr>
            <xdr:cNvPr id="28674" name="Check Box 2" descr="INSALUBRIDADE&#10;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3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28688" name="Object 16" hidden="1">
              <a:extLst>
                <a:ext uri="{63B3BB69-23CF-44E3-9099-C40C66FF867C}">
                  <a14:compatExt spid="_x0000_s28688"/>
                </a:ext>
                <a:ext uri="{FF2B5EF4-FFF2-40B4-BE49-F238E27FC236}">
                  <a16:creationId xmlns:a16="http://schemas.microsoft.com/office/drawing/2014/main" id="{00000000-0008-0000-0300-00001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1</xdr:row>
          <xdr:rowOff>0</xdr:rowOff>
        </xdr:from>
        <xdr:to>
          <xdr:col>1</xdr:col>
          <xdr:colOff>1762125</xdr:colOff>
          <xdr:row>3</xdr:row>
          <xdr:rowOff>171450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4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1</xdr:col>
          <xdr:colOff>1762125</xdr:colOff>
          <xdr:row>1</xdr:row>
          <xdr:rowOff>257175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00000000-0008-0000-0500-00000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2</xdr:col>
          <xdr:colOff>438150</xdr:colOff>
          <xdr:row>2</xdr:row>
          <xdr:rowOff>171450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6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F5574-B1FB-4205-B1A8-7B6440ED6FD3}">
  <sheetPr>
    <tabColor theme="4" tint="0.79998168889431442"/>
  </sheetPr>
  <dimension ref="A5:L96"/>
  <sheetViews>
    <sheetView showGridLines="0" tabSelected="1" zoomScaleNormal="100" workbookViewId="0">
      <selection activeCell="H11" sqref="H11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53" t="s">
        <v>164</v>
      </c>
      <c r="B5" s="253"/>
      <c r="C5" s="253"/>
      <c r="D5" s="253"/>
    </row>
    <row r="7" spans="1:8">
      <c r="A7" s="243" t="s">
        <v>89</v>
      </c>
      <c r="B7" s="243"/>
      <c r="C7" s="243"/>
      <c r="D7" s="243"/>
    </row>
    <row r="8" spans="1:8">
      <c r="A8" s="244" t="s">
        <v>117</v>
      </c>
      <c r="B8" s="244"/>
      <c r="C8" s="244"/>
      <c r="D8" s="244"/>
      <c r="H8" s="13"/>
    </row>
    <row r="9" spans="1:8" s="13" customFormat="1">
      <c r="A9" s="8" t="s">
        <v>86</v>
      </c>
      <c r="B9" s="9" t="s">
        <v>69</v>
      </c>
      <c r="C9" s="10"/>
      <c r="D9" s="11"/>
      <c r="E9" s="12"/>
      <c r="F9" s="12"/>
    </row>
    <row r="10" spans="1:8" s="13" customFormat="1">
      <c r="A10" s="8" t="s">
        <v>87</v>
      </c>
      <c r="B10" s="9" t="s">
        <v>31</v>
      </c>
      <c r="C10" s="11"/>
      <c r="D10" s="11"/>
      <c r="E10" s="14" t="b">
        <v>1</v>
      </c>
      <c r="F10" s="12" t="b">
        <v>1</v>
      </c>
    </row>
    <row r="11" spans="1:8" s="13" customFormat="1" ht="20.25" customHeight="1">
      <c r="A11" s="15" t="str">
        <f>IF(E10=TRUE,"Salário Mínimo local (R$)","")</f>
        <v>Salário Mínimo local (R$)</v>
      </c>
      <c r="B11" s="16">
        <v>1100</v>
      </c>
      <c r="C11" s="17"/>
      <c r="D11" s="17"/>
      <c r="E11" s="14" t="b">
        <v>0</v>
      </c>
      <c r="F11" s="12" t="b">
        <v>1</v>
      </c>
    </row>
    <row r="12" spans="1:8">
      <c r="A12" s="18" t="s">
        <v>57</v>
      </c>
      <c r="B12" s="18"/>
      <c r="C12" s="18"/>
      <c r="D12" s="18"/>
    </row>
    <row r="13" spans="1:8">
      <c r="A13" s="19" t="s">
        <v>98</v>
      </c>
      <c r="B13" s="19"/>
      <c r="C13" s="20"/>
      <c r="D13" s="110">
        <v>1237.25</v>
      </c>
    </row>
    <row r="14" spans="1:8">
      <c r="A14" s="21" t="str">
        <f>IF(E11=TRUE,"Adicional de Insalubridade","")</f>
        <v/>
      </c>
      <c r="B14" s="22" t="str">
        <f>IF(E11=TRUE,"% insalubridade","")</f>
        <v/>
      </c>
      <c r="C14" s="23">
        <v>0</v>
      </c>
      <c r="D14" s="111" t="str">
        <f>IF(E11=TRUE,$C$14*$B$11,"0")</f>
        <v>0</v>
      </c>
    </row>
    <row r="15" spans="1:8">
      <c r="A15" s="19" t="str">
        <f>IF(F11=TRUE,"Adicional de Periculosidade","")</f>
        <v>Adicional de Periculosidade</v>
      </c>
      <c r="B15" s="8" t="str">
        <f>IF(F11=TRUE,"% periculosidade","")</f>
        <v>% periculosidade</v>
      </c>
      <c r="C15" s="24">
        <f>IF(F11=TRUE,30%,"")</f>
        <v>0.3</v>
      </c>
      <c r="D15" s="111">
        <f>IF(F11=TRUE,$C$15*$D$13,"0")</f>
        <v>371.17500000000001</v>
      </c>
    </row>
    <row r="16" spans="1:8">
      <c r="A16" s="19" t="str">
        <f>IF(B10="Noturno","Adicional Noturno","")</f>
        <v/>
      </c>
      <c r="B16" s="19"/>
      <c r="C16" s="20"/>
      <c r="D16" s="111" t="str">
        <f>IF(B10="Noturno",(ROUND((10*7*4.345*(D13+D14+D15)*20%/220/2),2)),"0")</f>
        <v>0</v>
      </c>
    </row>
    <row r="17" spans="1:12">
      <c r="A17" s="25" t="str">
        <f>IF(B10="Noturno","Hora Noturna Reduzida","")</f>
        <v/>
      </c>
      <c r="B17" s="25"/>
      <c r="C17" s="25"/>
      <c r="D17" s="112" t="str">
        <f>IF(B10="Noturno",ROUND(1*7*4.345*(D13+D14+D15)/220/2,2),"0")</f>
        <v>0</v>
      </c>
    </row>
    <row r="18" spans="1:12" s="29" customFormat="1">
      <c r="A18" s="215" t="s">
        <v>58</v>
      </c>
      <c r="B18" s="26"/>
      <c r="C18" s="27"/>
      <c r="D18" s="113"/>
      <c r="E18" s="28"/>
      <c r="F18" s="28"/>
    </row>
    <row r="19" spans="1:12">
      <c r="A19" s="245" t="s">
        <v>42</v>
      </c>
      <c r="B19" s="245"/>
      <c r="C19" s="30"/>
      <c r="D19" s="114">
        <f>SUM(D13:D18)</f>
        <v>1608.425</v>
      </c>
    </row>
    <row r="20" spans="1:12" ht="8.25" customHeight="1">
      <c r="A20" s="31"/>
      <c r="B20" s="32"/>
      <c r="C20" s="33"/>
      <c r="D20" s="115"/>
    </row>
    <row r="21" spans="1:12">
      <c r="A21" s="246" t="s">
        <v>59</v>
      </c>
      <c r="B21" s="246"/>
      <c r="C21" s="246"/>
      <c r="D21" s="30"/>
    </row>
    <row r="22" spans="1:12">
      <c r="A22" s="34" t="s">
        <v>60</v>
      </c>
      <c r="B22" s="34"/>
      <c r="C22" s="35"/>
      <c r="D22" s="116"/>
    </row>
    <row r="23" spans="1:12">
      <c r="A23" s="36" t="s">
        <v>91</v>
      </c>
      <c r="B23" s="25"/>
      <c r="C23" s="37">
        <v>0.2</v>
      </c>
      <c r="D23" s="20">
        <f t="shared" ref="D23:D30" si="0">TRUNC(($D$19)*C23,2)</f>
        <v>321.68</v>
      </c>
    </row>
    <row r="24" spans="1:12">
      <c r="A24" s="36" t="s">
        <v>13</v>
      </c>
      <c r="B24" s="25"/>
      <c r="C24" s="37">
        <v>0.08</v>
      </c>
      <c r="D24" s="20">
        <f t="shared" si="0"/>
        <v>128.66999999999999</v>
      </c>
    </row>
    <row r="25" spans="1:12">
      <c r="A25" s="36" t="s">
        <v>14</v>
      </c>
      <c r="B25" s="25"/>
      <c r="C25" s="37">
        <v>1.4999999999999999E-2</v>
      </c>
      <c r="D25" s="20">
        <f t="shared" si="0"/>
        <v>24.12</v>
      </c>
      <c r="L25" s="38"/>
    </row>
    <row r="26" spans="1:12">
      <c r="A26" s="36" t="s">
        <v>15</v>
      </c>
      <c r="B26" s="25"/>
      <c r="C26" s="37">
        <v>0.01</v>
      </c>
      <c r="D26" s="20">
        <f t="shared" si="0"/>
        <v>16.079999999999998</v>
      </c>
    </row>
    <row r="27" spans="1:12">
      <c r="A27" s="36" t="s">
        <v>16</v>
      </c>
      <c r="B27" s="25"/>
      <c r="C27" s="37">
        <v>2E-3</v>
      </c>
      <c r="D27" s="20">
        <f t="shared" si="0"/>
        <v>3.21</v>
      </c>
    </row>
    <row r="28" spans="1:12">
      <c r="A28" s="36" t="s">
        <v>17</v>
      </c>
      <c r="B28" s="25"/>
      <c r="C28" s="37">
        <v>6.0000000000000001E-3</v>
      </c>
      <c r="D28" s="20">
        <f t="shared" si="0"/>
        <v>9.65</v>
      </c>
    </row>
    <row r="29" spans="1:12">
      <c r="A29" s="36" t="s">
        <v>18</v>
      </c>
      <c r="B29" s="25"/>
      <c r="C29" s="37">
        <v>2.5000000000000001E-2</v>
      </c>
      <c r="D29" s="20">
        <f t="shared" si="0"/>
        <v>40.21</v>
      </c>
    </row>
    <row r="30" spans="1:12" ht="17.25" customHeight="1">
      <c r="A30" s="247" t="s">
        <v>19</v>
      </c>
      <c r="B30" s="247"/>
      <c r="C30" s="37">
        <v>0.03</v>
      </c>
      <c r="D30" s="20">
        <f t="shared" si="0"/>
        <v>48.25</v>
      </c>
    </row>
    <row r="31" spans="1:12">
      <c r="A31" s="31" t="s">
        <v>61</v>
      </c>
      <c r="B31" s="39"/>
      <c r="C31" s="40">
        <f>SUM(C23:C30)</f>
        <v>0.3680000000000001</v>
      </c>
      <c r="D31" s="115">
        <f>SUM(D23:D30)</f>
        <v>591.87</v>
      </c>
    </row>
    <row r="32" spans="1:12">
      <c r="A32" s="41" t="s">
        <v>88</v>
      </c>
      <c r="B32" s="41"/>
      <c r="C32" s="40"/>
      <c r="D32" s="115"/>
    </row>
    <row r="33" spans="1:6">
      <c r="A33" s="42" t="s">
        <v>20</v>
      </c>
      <c r="B33" s="43"/>
      <c r="C33" s="44">
        <f>1/12</f>
        <v>8.3333333333333329E-2</v>
      </c>
      <c r="D33" s="20">
        <f>TRUNC(($D$19)*C33,2)</f>
        <v>134.03</v>
      </c>
    </row>
    <row r="34" spans="1:6">
      <c r="A34" s="210" t="s">
        <v>62</v>
      </c>
      <c r="B34" s="45"/>
      <c r="C34" s="46">
        <f>(1/12)</f>
        <v>8.3333333333333329E-2</v>
      </c>
      <c r="D34" s="20">
        <f t="shared" ref="D34:D40" si="1">TRUNC(($D$19)*C34,2)</f>
        <v>134.03</v>
      </c>
    </row>
    <row r="35" spans="1:6" s="13" customFormat="1">
      <c r="A35" s="210" t="s">
        <v>21</v>
      </c>
      <c r="B35" s="45"/>
      <c r="C35" s="45">
        <f>(((100% / 30) * 7) / 12)</f>
        <v>1.9444444444444445E-2</v>
      </c>
      <c r="D35" s="20">
        <f t="shared" si="1"/>
        <v>31.27</v>
      </c>
      <c r="E35" s="12"/>
      <c r="F35" s="12"/>
    </row>
    <row r="36" spans="1:6" s="13" customFormat="1">
      <c r="A36" s="210" t="s">
        <v>22</v>
      </c>
      <c r="B36" s="45"/>
      <c r="C36" s="45">
        <f>(1462463/54796761)/12</f>
        <v>2.2240715407734896E-3</v>
      </c>
      <c r="D36" s="20">
        <f t="shared" si="1"/>
        <v>3.57</v>
      </c>
      <c r="E36" s="12"/>
      <c r="F36" s="12"/>
    </row>
    <row r="37" spans="1:6" s="13" customFormat="1">
      <c r="A37" s="210" t="s">
        <v>23</v>
      </c>
      <c r="B37" s="45"/>
      <c r="C37" s="45">
        <f>(((100% /30) * 15) / 12) * 1.22%</f>
        <v>5.0833333333333329E-4</v>
      </c>
      <c r="D37" s="20">
        <f t="shared" si="1"/>
        <v>0.81</v>
      </c>
      <c r="E37" s="12"/>
      <c r="F37" s="12"/>
    </row>
    <row r="38" spans="1:6" s="13" customFormat="1">
      <c r="A38" s="210" t="s">
        <v>24</v>
      </c>
      <c r="B38" s="45"/>
      <c r="C38" s="45">
        <f>((100%/30)*1.4947)/12</f>
        <v>4.1519444444444442E-3</v>
      </c>
      <c r="D38" s="20">
        <f t="shared" si="1"/>
        <v>6.67</v>
      </c>
      <c r="E38" s="12"/>
      <c r="F38" s="12"/>
    </row>
    <row r="39" spans="1:6" s="13" customFormat="1">
      <c r="A39" s="248" t="s">
        <v>25</v>
      </c>
      <c r="B39" s="248"/>
      <c r="C39" s="45">
        <f>(8.333%*1.416%*4/12)</f>
        <v>3.933176E-4</v>
      </c>
      <c r="D39" s="20">
        <f t="shared" si="1"/>
        <v>0.63</v>
      </c>
      <c r="E39" s="12"/>
      <c r="F39" s="12"/>
    </row>
    <row r="40" spans="1:6" s="13" customFormat="1">
      <c r="A40" s="211" t="s">
        <v>26</v>
      </c>
      <c r="B40" s="147"/>
      <c r="C40" s="45">
        <f>(((100%/30)*5)/12)*1.416%</f>
        <v>1.9666666666666663E-4</v>
      </c>
      <c r="D40" s="20">
        <f t="shared" si="1"/>
        <v>0.31</v>
      </c>
      <c r="E40" s="12"/>
      <c r="F40" s="12"/>
    </row>
    <row r="41" spans="1:6" s="51" customFormat="1">
      <c r="A41" s="47" t="s">
        <v>8</v>
      </c>
      <c r="B41" s="48"/>
      <c r="C41" s="49">
        <f>SUM(C33:C40)</f>
        <v>0.19358544469632905</v>
      </c>
      <c r="D41" s="116">
        <f>SUM(D33:D40)</f>
        <v>311.32</v>
      </c>
      <c r="E41" s="50"/>
      <c r="F41" s="50"/>
    </row>
    <row r="42" spans="1:6">
      <c r="A42" s="41" t="s">
        <v>2</v>
      </c>
      <c r="B42" s="41"/>
      <c r="C42" s="40"/>
      <c r="D42" s="115"/>
    </row>
    <row r="43" spans="1:6">
      <c r="A43" s="42" t="s">
        <v>27</v>
      </c>
      <c r="B43" s="52"/>
      <c r="C43" s="52">
        <f>1/12*5%</f>
        <v>4.1666666666666666E-3</v>
      </c>
      <c r="D43" s="20">
        <f>TRUNC(($D$19)*C43,2)</f>
        <v>6.7</v>
      </c>
    </row>
    <row r="44" spans="1:6" s="13" customFormat="1">
      <c r="A44" s="210" t="s">
        <v>28</v>
      </c>
      <c r="B44" s="148"/>
      <c r="C44" s="148">
        <f>1/12*3.4275%</f>
        <v>2.8562499999999998E-3</v>
      </c>
      <c r="D44" s="20">
        <f t="shared" ref="D44:D48" si="2">TRUNC(($D$19)*C44,2)</f>
        <v>4.59</v>
      </c>
      <c r="E44" s="12"/>
      <c r="F44" s="12"/>
    </row>
    <row r="45" spans="1:6" ht="30" customHeight="1">
      <c r="A45" s="248" t="s">
        <v>33</v>
      </c>
      <c r="B45" s="248"/>
      <c r="C45" s="53">
        <f>40%*8%</f>
        <v>3.2000000000000001E-2</v>
      </c>
      <c r="D45" s="20">
        <f t="shared" si="2"/>
        <v>51.46</v>
      </c>
    </row>
    <row r="46" spans="1:6" ht="30" customHeight="1">
      <c r="A46" s="248" t="s">
        <v>34</v>
      </c>
      <c r="B46" s="248"/>
      <c r="C46" s="53">
        <f>10%*8%</f>
        <v>8.0000000000000002E-3</v>
      </c>
      <c r="D46" s="20">
        <f t="shared" si="2"/>
        <v>12.86</v>
      </c>
    </row>
    <row r="47" spans="1:6" ht="21.75" customHeight="1">
      <c r="A47" s="248" t="s">
        <v>63</v>
      </c>
      <c r="B47" s="248"/>
      <c r="C47" s="134">
        <f>1/3*1/12</f>
        <v>2.7777777777777776E-2</v>
      </c>
      <c r="D47" s="20">
        <f t="shared" si="2"/>
        <v>44.67</v>
      </c>
    </row>
    <row r="48" spans="1:6" ht="30" customHeight="1">
      <c r="A48" s="249" t="s">
        <v>64</v>
      </c>
      <c r="B48" s="249"/>
      <c r="C48" s="134">
        <f>1/3*C39</f>
        <v>1.3110586666666667E-4</v>
      </c>
      <c r="D48" s="20">
        <f t="shared" si="2"/>
        <v>0.21</v>
      </c>
      <c r="F48" s="146"/>
    </row>
    <row r="49" spans="1:6">
      <c r="A49" s="47" t="s">
        <v>3</v>
      </c>
      <c r="B49" s="54"/>
      <c r="C49" s="54">
        <f>SUM(C43:C48)</f>
        <v>7.4931800311111116E-2</v>
      </c>
      <c r="D49" s="116">
        <f>SUM(D43:D48)</f>
        <v>120.49</v>
      </c>
    </row>
    <row r="50" spans="1:6">
      <c r="A50" s="34" t="s">
        <v>4</v>
      </c>
      <c r="B50" s="34"/>
      <c r="C50" s="48"/>
      <c r="D50" s="116"/>
    </row>
    <row r="51" spans="1:6" ht="22.5" customHeight="1">
      <c r="A51" s="250" t="s">
        <v>29</v>
      </c>
      <c r="B51" s="250"/>
      <c r="C51" s="55">
        <f>C31*C41</f>
        <v>7.1239443648249107E-2</v>
      </c>
      <c r="D51" s="117">
        <f>TRUNC($D$19*C51,2)</f>
        <v>114.58</v>
      </c>
    </row>
    <row r="52" spans="1:6">
      <c r="A52" s="47" t="s">
        <v>5</v>
      </c>
      <c r="B52" s="48"/>
      <c r="C52" s="48">
        <f>SUM(C51)</f>
        <v>7.1239443648249107E-2</v>
      </c>
      <c r="D52" s="116">
        <f>SUM(D51)</f>
        <v>114.58</v>
      </c>
    </row>
    <row r="53" spans="1:6">
      <c r="A53" s="56" t="s">
        <v>6</v>
      </c>
      <c r="B53" s="56"/>
      <c r="C53" s="135"/>
      <c r="D53" s="20"/>
    </row>
    <row r="54" spans="1:6" ht="24" customHeight="1">
      <c r="A54" s="242" t="s">
        <v>65</v>
      </c>
      <c r="B54" s="242"/>
      <c r="C54" s="57">
        <f>8%*C43</f>
        <v>3.3333333333333332E-4</v>
      </c>
      <c r="D54" s="118">
        <f>TRUNC($D$19*C54,2)</f>
        <v>0.53</v>
      </c>
    </row>
    <row r="55" spans="1:6" ht="42.75" customHeight="1">
      <c r="A55" s="260" t="s">
        <v>66</v>
      </c>
      <c r="B55" s="260"/>
      <c r="C55" s="58">
        <f>8%*C37</f>
        <v>4.0666666666666661E-5</v>
      </c>
      <c r="D55" s="20">
        <f>TRUNC($D$19*C55,2)</f>
        <v>0.06</v>
      </c>
    </row>
    <row r="56" spans="1:6" s="13" customFormat="1" ht="18" customHeight="1">
      <c r="A56" s="261" t="s">
        <v>104</v>
      </c>
      <c r="B56" s="261"/>
      <c r="C56" s="59">
        <f>C24*C47</f>
        <v>2.2222222222222222E-3</v>
      </c>
      <c r="D56" s="119">
        <f>TRUNC($D$19*C56,2)</f>
        <v>3.57</v>
      </c>
      <c r="E56" s="12"/>
      <c r="F56" s="12"/>
    </row>
    <row r="57" spans="1:6">
      <c r="A57" s="31" t="s">
        <v>9</v>
      </c>
      <c r="B57" s="32"/>
      <c r="C57" s="32">
        <f>SUM(C54:C56)</f>
        <v>2.596222222222222E-3</v>
      </c>
      <c r="D57" s="115">
        <f>SUM(D54:D56)</f>
        <v>4.16</v>
      </c>
    </row>
    <row r="58" spans="1:6">
      <c r="A58" s="41" t="s">
        <v>7</v>
      </c>
      <c r="B58" s="41"/>
      <c r="C58" s="40"/>
      <c r="D58" s="115"/>
    </row>
    <row r="59" spans="1:6" ht="43.5" customHeight="1">
      <c r="A59" s="262" t="s">
        <v>30</v>
      </c>
      <c r="B59" s="262"/>
      <c r="C59" s="37">
        <f>C31*(4/12)*2/100</f>
        <v>2.4533333333333338E-3</v>
      </c>
      <c r="D59" s="120">
        <f>TRUNC($D$19*C59,2)</f>
        <v>3.94</v>
      </c>
    </row>
    <row r="60" spans="1:6">
      <c r="A60" s="31" t="s">
        <v>10</v>
      </c>
      <c r="B60" s="32"/>
      <c r="C60" s="136">
        <f>SUM(C59)</f>
        <v>2.4533333333333338E-3</v>
      </c>
      <c r="D60" s="115">
        <f>SUM(D59)</f>
        <v>3.94</v>
      </c>
    </row>
    <row r="61" spans="1:6">
      <c r="A61" s="209" t="s">
        <v>44</v>
      </c>
      <c r="B61" s="60"/>
      <c r="C61" s="137">
        <f>C60+C57+C52+C49+C41+C31</f>
        <v>0.71280624421124494</v>
      </c>
      <c r="D61" s="30">
        <f>D60+D57+D52+D49+D41+D31</f>
        <v>1146.3600000000001</v>
      </c>
    </row>
    <row r="62" spans="1:6" ht="8.25" customHeight="1">
      <c r="A62" s="31"/>
      <c r="B62" s="32"/>
      <c r="C62" s="33"/>
      <c r="D62" s="115"/>
    </row>
    <row r="63" spans="1:6" s="103" customFormat="1" ht="16.5" customHeight="1">
      <c r="A63" s="263" t="s">
        <v>43</v>
      </c>
      <c r="B63" s="263"/>
      <c r="C63" s="263"/>
      <c r="D63" s="30">
        <f>D61+D19</f>
        <v>2754.7849999999999</v>
      </c>
      <c r="E63" s="101"/>
      <c r="F63" s="102"/>
    </row>
    <row r="64" spans="1:6" ht="8.25" customHeight="1">
      <c r="A64" s="31"/>
      <c r="B64" s="32"/>
      <c r="C64" s="33"/>
      <c r="D64" s="115"/>
    </row>
    <row r="65" spans="1:6">
      <c r="A65" s="209" t="s">
        <v>166</v>
      </c>
      <c r="B65" s="209"/>
      <c r="C65" s="62"/>
      <c r="D65" s="121"/>
    </row>
    <row r="66" spans="1:6">
      <c r="A66" s="63" t="s">
        <v>11</v>
      </c>
      <c r="B66" s="63"/>
      <c r="C66" s="64"/>
      <c r="D66" s="122">
        <v>85.46</v>
      </c>
    </row>
    <row r="67" spans="1:6">
      <c r="A67" s="65" t="s">
        <v>32</v>
      </c>
      <c r="B67" s="65"/>
      <c r="C67" s="64"/>
      <c r="D67" s="122">
        <f>22*18.5</f>
        <v>407</v>
      </c>
    </row>
    <row r="68" spans="1:6">
      <c r="A68" s="63" t="s">
        <v>99</v>
      </c>
      <c r="B68" s="63"/>
      <c r="C68" s="64"/>
      <c r="D68" s="122">
        <f>22*4</f>
        <v>88</v>
      </c>
    </row>
    <row r="69" spans="1:6" ht="15" customHeight="1">
      <c r="A69" s="248" t="s">
        <v>180</v>
      </c>
      <c r="B69" s="248"/>
      <c r="C69" s="248"/>
      <c r="D69" s="122">
        <f>IF(D68&gt;6%*D13,-6%*D13,-D68)</f>
        <v>-74.234999999999999</v>
      </c>
    </row>
    <row r="70" spans="1:6">
      <c r="A70" s="63" t="s">
        <v>100</v>
      </c>
      <c r="B70" s="63"/>
      <c r="C70" s="64"/>
      <c r="D70" s="122">
        <f>'Equip. Vigilância'!Y15+'Equip. Vigilância'!Y20</f>
        <v>852.26673333333349</v>
      </c>
      <c r="E70" s="66"/>
    </row>
    <row r="71" spans="1:6" s="70" customFormat="1">
      <c r="A71" s="65" t="s">
        <v>162</v>
      </c>
      <c r="B71" s="65"/>
      <c r="C71" s="64"/>
      <c r="D71" s="159">
        <f>-(0.1*D67)</f>
        <v>-40.700000000000003</v>
      </c>
      <c r="E71" s="69"/>
      <c r="F71" s="69"/>
    </row>
    <row r="72" spans="1:6" s="70" customFormat="1" ht="17.25" customHeight="1">
      <c r="A72" s="254" t="s">
        <v>165</v>
      </c>
      <c r="B72" s="255"/>
      <c r="C72" s="255"/>
      <c r="D72" s="159">
        <v>52.5</v>
      </c>
      <c r="E72" s="69"/>
      <c r="F72" s="69"/>
    </row>
    <row r="73" spans="1:6" s="29" customFormat="1">
      <c r="A73" s="71" t="s">
        <v>45</v>
      </c>
      <c r="B73" s="72"/>
      <c r="C73" s="62"/>
      <c r="D73" s="121">
        <f>SUM(D66:D72)</f>
        <v>1370.2917333333335</v>
      </c>
      <c r="E73" s="28"/>
      <c r="F73" s="28"/>
    </row>
    <row r="74" spans="1:6" ht="16.5" customHeight="1">
      <c r="A74" s="31"/>
      <c r="B74" s="32"/>
      <c r="C74" s="33"/>
      <c r="D74" s="115"/>
    </row>
    <row r="75" spans="1:6" s="29" customFormat="1">
      <c r="A75" s="209" t="s">
        <v>122</v>
      </c>
      <c r="B75" s="209"/>
      <c r="C75" s="62"/>
      <c r="D75" s="121"/>
      <c r="E75" s="28"/>
      <c r="F75" s="28"/>
    </row>
    <row r="76" spans="1:6" s="29" customFormat="1">
      <c r="A76" s="264" t="s">
        <v>123</v>
      </c>
      <c r="B76" s="264"/>
      <c r="C76" s="73"/>
      <c r="D76" s="121">
        <f>D75</f>
        <v>0</v>
      </c>
      <c r="E76" s="28"/>
      <c r="F76" s="28"/>
    </row>
    <row r="77" spans="1:6" ht="15.75" customHeight="1">
      <c r="A77" s="31"/>
      <c r="B77" s="32"/>
      <c r="C77" s="33"/>
      <c r="D77" s="115"/>
    </row>
    <row r="78" spans="1:6" s="29" customFormat="1" ht="29.25" customHeight="1">
      <c r="A78" s="251" t="s">
        <v>124</v>
      </c>
      <c r="B78" s="251"/>
      <c r="C78" s="251"/>
      <c r="D78" s="30">
        <f>SUM(D63,D73,D76)</f>
        <v>4125.0767333333333</v>
      </c>
      <c r="E78" s="28"/>
      <c r="F78" s="28"/>
    </row>
    <row r="79" spans="1:6" s="108" customFormat="1" ht="14.25" customHeight="1">
      <c r="A79" s="106"/>
      <c r="B79" s="106"/>
      <c r="C79" s="106"/>
      <c r="D79" s="123"/>
      <c r="E79" s="107"/>
      <c r="F79" s="107"/>
    </row>
    <row r="80" spans="1:6" s="29" customFormat="1" ht="16.5" customHeight="1">
      <c r="A80" s="18" t="s">
        <v>114</v>
      </c>
      <c r="B80" s="105"/>
      <c r="C80" s="105"/>
      <c r="D80" s="124"/>
      <c r="E80" s="28"/>
      <c r="F80" s="28"/>
    </row>
    <row r="81" spans="1:6" s="29" customFormat="1" ht="21.75" customHeight="1">
      <c r="A81" s="256" t="s">
        <v>67</v>
      </c>
      <c r="B81" s="256"/>
      <c r="C81" s="74"/>
      <c r="D81" s="125"/>
      <c r="E81" s="28"/>
      <c r="F81" s="28"/>
    </row>
    <row r="82" spans="1:6" s="29" customFormat="1">
      <c r="A82" s="257" t="s">
        <v>12</v>
      </c>
      <c r="B82" s="257"/>
      <c r="C82" s="76">
        <v>0.05</v>
      </c>
      <c r="D82" s="126">
        <f>C82*D78</f>
        <v>206.25383666666667</v>
      </c>
      <c r="E82" s="28"/>
      <c r="F82" s="28"/>
    </row>
    <row r="83" spans="1:6" s="29" customFormat="1">
      <c r="A83" s="77" t="s">
        <v>38</v>
      </c>
      <c r="B83" s="78"/>
      <c r="C83" s="79">
        <v>0.1</v>
      </c>
      <c r="D83" s="127">
        <f>C83*D78</f>
        <v>412.50767333333334</v>
      </c>
      <c r="E83" s="28"/>
      <c r="F83" s="28"/>
    </row>
    <row r="84" spans="1:6" s="29" customFormat="1" ht="17.25" customHeight="1">
      <c r="A84" s="258" t="s">
        <v>39</v>
      </c>
      <c r="B84" s="258"/>
      <c r="C84" s="143">
        <f>SUM(C82:C83)</f>
        <v>0.15000000000000002</v>
      </c>
      <c r="D84" s="128">
        <f>D83+D82</f>
        <v>618.76151000000004</v>
      </c>
      <c r="E84" s="28"/>
      <c r="F84" s="28"/>
    </row>
    <row r="85" spans="1:6" s="29" customFormat="1" ht="16.5" customHeight="1">
      <c r="A85" s="80"/>
      <c r="B85" s="81"/>
      <c r="C85" s="82"/>
      <c r="D85" s="129"/>
      <c r="E85" s="28"/>
      <c r="F85" s="28"/>
    </row>
    <row r="86" spans="1:6" s="29" customFormat="1" ht="18.75" customHeight="1">
      <c r="A86" s="256" t="s">
        <v>68</v>
      </c>
      <c r="B86" s="256"/>
      <c r="C86" s="74"/>
      <c r="D86" s="125"/>
      <c r="E86" s="28"/>
      <c r="F86" s="28"/>
    </row>
    <row r="87" spans="1:6" s="29" customFormat="1">
      <c r="A87" s="75" t="s">
        <v>53</v>
      </c>
      <c r="B87" s="83"/>
      <c r="C87" s="139">
        <v>0.05</v>
      </c>
      <c r="D87" s="130">
        <f>(D78+D84)/(1-C90)*C87</f>
        <v>259.65179219120603</v>
      </c>
      <c r="E87" s="28"/>
      <c r="F87" s="28"/>
    </row>
    <row r="88" spans="1:6" s="29" customFormat="1">
      <c r="A88" s="65" t="s">
        <v>0</v>
      </c>
      <c r="B88" s="84"/>
      <c r="C88" s="140">
        <v>0.03</v>
      </c>
      <c r="D88" s="131">
        <f>(D78+D84)/(1-C90)*C88</f>
        <v>155.7910753147236</v>
      </c>
      <c r="E88" s="28"/>
      <c r="F88" s="28"/>
    </row>
    <row r="89" spans="1:6" s="29" customFormat="1">
      <c r="A89" s="85" t="s">
        <v>1</v>
      </c>
      <c r="B89" s="86"/>
      <c r="C89" s="141">
        <v>6.4999999999999997E-3</v>
      </c>
      <c r="D89" s="132">
        <f>(D78+D84)/(1-C90)*C89</f>
        <v>33.75473298485678</v>
      </c>
      <c r="E89" s="28"/>
      <c r="F89" s="28"/>
    </row>
    <row r="90" spans="1:6" s="29" customFormat="1" ht="20.25" customHeight="1">
      <c r="A90" s="259" t="s">
        <v>52</v>
      </c>
      <c r="B90" s="259"/>
      <c r="C90" s="87">
        <f>SUM(C87:C89)</f>
        <v>8.6500000000000007E-2</v>
      </c>
      <c r="D90" s="128">
        <f>SUM(D87:D89)</f>
        <v>449.19760049078639</v>
      </c>
      <c r="E90" s="28"/>
      <c r="F90" s="28"/>
    </row>
    <row r="91" spans="1:6" s="29" customFormat="1" ht="18" customHeight="1">
      <c r="A91" s="80"/>
      <c r="B91" s="81"/>
      <c r="C91" s="82"/>
      <c r="D91" s="129"/>
      <c r="E91" s="28"/>
      <c r="F91" s="28"/>
    </row>
    <row r="92" spans="1:6" s="29" customFormat="1" ht="20.25" customHeight="1">
      <c r="A92" s="251" t="s">
        <v>112</v>
      </c>
      <c r="B92" s="251"/>
      <c r="C92" s="61"/>
      <c r="D92" s="30">
        <f>D78+D84+D90</f>
        <v>5193.0358438241201</v>
      </c>
      <c r="E92" s="28"/>
      <c r="F92" s="28"/>
    </row>
    <row r="93" spans="1:6">
      <c r="A93" s="252" t="s">
        <v>113</v>
      </c>
      <c r="B93" s="252"/>
      <c r="C93" s="252"/>
      <c r="D93" s="138">
        <v>1</v>
      </c>
    </row>
    <row r="94" spans="1:6" s="29" customFormat="1">
      <c r="A94" s="88" t="s">
        <v>101</v>
      </c>
      <c r="B94" s="88"/>
      <c r="C94" s="89"/>
      <c r="D94" s="133">
        <f>D92*D93</f>
        <v>5193.0358438241201</v>
      </c>
      <c r="E94" s="28"/>
      <c r="F94" s="28"/>
    </row>
    <row r="95" spans="1:6" s="29" customFormat="1">
      <c r="A95" s="88" t="s">
        <v>102</v>
      </c>
      <c r="B95" s="88"/>
      <c r="C95" s="89"/>
      <c r="D95" s="133">
        <f>D94*12</f>
        <v>62316.430125889441</v>
      </c>
      <c r="E95" s="28"/>
      <c r="F95" s="28"/>
    </row>
    <row r="96" spans="1:6">
      <c r="C96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8">
    <mergeCell ref="A92:B92"/>
    <mergeCell ref="A93:C93"/>
    <mergeCell ref="A5:D5"/>
    <mergeCell ref="A72:C72"/>
    <mergeCell ref="A78:C78"/>
    <mergeCell ref="A81:B81"/>
    <mergeCell ref="A82:B82"/>
    <mergeCell ref="A84:B84"/>
    <mergeCell ref="A86:B86"/>
    <mergeCell ref="A90:B90"/>
    <mergeCell ref="A55:B55"/>
    <mergeCell ref="A56:B56"/>
    <mergeCell ref="A59:B59"/>
    <mergeCell ref="A63:C63"/>
    <mergeCell ref="A69:C69"/>
    <mergeCell ref="A76:B76"/>
    <mergeCell ref="A54:B54"/>
    <mergeCell ref="A7:D7"/>
    <mergeCell ref="A8:D8"/>
    <mergeCell ref="A19:B19"/>
    <mergeCell ref="A21:C21"/>
    <mergeCell ref="A30:B30"/>
    <mergeCell ref="A39:B39"/>
    <mergeCell ref="A45:B45"/>
    <mergeCell ref="A46:B46"/>
    <mergeCell ref="A47:B47"/>
    <mergeCell ref="A48:B48"/>
    <mergeCell ref="A51:B51"/>
  </mergeCells>
  <dataValidations count="1">
    <dataValidation type="list" allowBlank="1" showInputMessage="1" showErrorMessage="1" promptTitle="SERVIÇO" prompt="Escolha o Serviço a ser contratado" sqref="A8" xr:uid="{0B8F9A03-40BA-452B-82D3-D837C0F04729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38915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3891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9</xdr:row>
                    <xdr:rowOff>66675</xdr:rowOff>
                  </from>
                  <to>
                    <xdr:col>3</xdr:col>
                    <xdr:colOff>1143000</xdr:colOff>
                    <xdr:row>10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8</xdr:row>
                    <xdr:rowOff>9525</xdr:rowOff>
                  </from>
                  <to>
                    <xdr:col>3</xdr:col>
                    <xdr:colOff>1123950</xdr:colOff>
                    <xdr:row>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CD5F57A-7179-41C6-84ED-43066B587FA9}">
          <x14:formula1>
            <xm:f>'Dados - Não mexer'!$D$2:$D$5</xm:f>
          </x14:formula1>
          <xm:sqref>C14</xm:sqref>
        </x14:dataValidation>
        <x14:dataValidation type="list" allowBlank="1" showInputMessage="1" showErrorMessage="1" xr:uid="{5EF75B49-93FC-4122-9924-69EAA3CE825C}">
          <x14:formula1>
            <xm:f>'Dados - Não mexer'!$C$2:$C$3</xm:f>
          </x14:formula1>
          <xm:sqref>B10</xm:sqref>
        </x14:dataValidation>
        <x14:dataValidation type="list" allowBlank="1" showInputMessage="1" showErrorMessage="1" xr:uid="{41829746-2995-47EB-8D04-4740521D9689}">
          <x14:formula1>
            <xm:f>'Dados - Não mexer'!$B$2:$B$4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39">
    <tabColor theme="4" tint="0.79998168889431442"/>
  </sheetPr>
  <dimension ref="A5:L94"/>
  <sheetViews>
    <sheetView showGridLines="0" view="pageBreakPreview" topLeftCell="A60" zoomScaleNormal="115" zoomScaleSheetLayoutView="100" workbookViewId="0">
      <selection activeCell="H6" sqref="H6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43" t="s">
        <v>89</v>
      </c>
      <c r="B5" s="243"/>
      <c r="C5" s="243"/>
      <c r="D5" s="243"/>
    </row>
    <row r="6" spans="1:8">
      <c r="A6" s="244" t="s">
        <v>117</v>
      </c>
      <c r="B6" s="244"/>
      <c r="C6" s="244"/>
      <c r="D6" s="244"/>
      <c r="H6" s="13"/>
    </row>
    <row r="7" spans="1:8" s="13" customFormat="1">
      <c r="A7" s="8" t="s">
        <v>86</v>
      </c>
      <c r="B7" s="9" t="s">
        <v>55</v>
      </c>
      <c r="C7" s="10"/>
      <c r="D7" s="11"/>
      <c r="E7" s="12"/>
      <c r="F7" s="12"/>
    </row>
    <row r="8" spans="1:8" s="13" customFormat="1">
      <c r="A8" s="8" t="s">
        <v>87</v>
      </c>
      <c r="B8" s="9" t="s">
        <v>31</v>
      </c>
      <c r="C8" s="11"/>
      <c r="D8" s="11"/>
      <c r="E8" s="14" t="b">
        <v>1</v>
      </c>
      <c r="F8" s="12" t="b">
        <v>1</v>
      </c>
    </row>
    <row r="9" spans="1:8" s="13" customFormat="1" ht="20.25" customHeight="1">
      <c r="A9" s="15" t="str">
        <f>IF(E8=TRUE,"Salário Mínimo local (R$)","")</f>
        <v>Salário Mínimo local (R$)</v>
      </c>
      <c r="B9" s="16">
        <v>1100</v>
      </c>
      <c r="C9" s="17"/>
      <c r="D9" s="17"/>
      <c r="E9" s="14" t="b">
        <v>0</v>
      </c>
      <c r="F9" s="12" t="b">
        <v>1</v>
      </c>
    </row>
    <row r="10" spans="1:8">
      <c r="A10" s="18" t="s">
        <v>57</v>
      </c>
      <c r="B10" s="18"/>
      <c r="C10" s="18"/>
      <c r="D10" s="18"/>
    </row>
    <row r="11" spans="1:8">
      <c r="A11" s="19" t="s">
        <v>98</v>
      </c>
      <c r="B11" s="19"/>
      <c r="C11" s="20"/>
      <c r="D11" s="110">
        <v>1237.25</v>
      </c>
    </row>
    <row r="12" spans="1:8">
      <c r="A12" s="21" t="str">
        <f>IF(E9=TRUE,"Adicional de Insalubridade","")</f>
        <v/>
      </c>
      <c r="B12" s="22" t="str">
        <f>IF(E9=TRUE,"% insalubridade","")</f>
        <v/>
      </c>
      <c r="C12" s="23">
        <v>0</v>
      </c>
      <c r="D12" s="111" t="str">
        <f>IF(E9=TRUE,$C$12*$B$9,"0")</f>
        <v>0</v>
      </c>
    </row>
    <row r="13" spans="1:8">
      <c r="A13" s="19" t="str">
        <f>IF(F9=TRUE,"Adicional de Periculosidade","")</f>
        <v>Adicional de Periculosidade</v>
      </c>
      <c r="B13" s="8" t="str">
        <f>IF(F9=TRUE,"% periculosidade","")</f>
        <v>% periculosidade</v>
      </c>
      <c r="C13" s="24">
        <f>IF(F9=TRUE,30%,"")</f>
        <v>0.3</v>
      </c>
      <c r="D13" s="111">
        <f>IF(F9=TRUE,$C$13*$D$11,"0")</f>
        <v>371.17500000000001</v>
      </c>
    </row>
    <row r="14" spans="1:8">
      <c r="A14" s="19" t="str">
        <f>IF(B8="Noturno","Adicional Noturno","")</f>
        <v/>
      </c>
      <c r="B14" s="19"/>
      <c r="C14" s="20"/>
      <c r="D14" s="111" t="str">
        <f>IF(B8="Noturno",(ROUND((10*7*4.345*(D11+D12+D13)*20%/220/2),2)),"0")</f>
        <v>0</v>
      </c>
    </row>
    <row r="15" spans="1:8">
      <c r="A15" s="25" t="str">
        <f>IF(B8="Noturno","Hora Noturna Reduzida","")</f>
        <v/>
      </c>
      <c r="B15" s="25"/>
      <c r="C15" s="25"/>
      <c r="D15" s="112" t="str">
        <f>IF(B8="Noturno",ROUND(1*7*4.345*(D11+D12+D13)/220/2,2),"0")</f>
        <v>0</v>
      </c>
    </row>
    <row r="16" spans="1:8" s="29" customFormat="1">
      <c r="A16" s="215" t="s">
        <v>58</v>
      </c>
      <c r="B16" s="26"/>
      <c r="C16" s="27"/>
      <c r="D16" s="113"/>
      <c r="E16" s="28"/>
      <c r="F16" s="28"/>
    </row>
    <row r="17" spans="1:12">
      <c r="A17" s="245" t="s">
        <v>42</v>
      </c>
      <c r="B17" s="245"/>
      <c r="C17" s="30"/>
      <c r="D17" s="114">
        <f>SUM(D11:D16)</f>
        <v>1608.425</v>
      </c>
    </row>
    <row r="18" spans="1:12" ht="8.25" customHeight="1">
      <c r="A18" s="31"/>
      <c r="B18" s="32"/>
      <c r="C18" s="33"/>
      <c r="D18" s="115"/>
    </row>
    <row r="19" spans="1:12">
      <c r="A19" s="246" t="s">
        <v>59</v>
      </c>
      <c r="B19" s="246"/>
      <c r="C19" s="246"/>
      <c r="D19" s="30"/>
    </row>
    <row r="20" spans="1:12">
      <c r="A20" s="34" t="s">
        <v>60</v>
      </c>
      <c r="B20" s="34"/>
      <c r="C20" s="35"/>
      <c r="D20" s="116"/>
    </row>
    <row r="21" spans="1:12">
      <c r="A21" s="36" t="s">
        <v>91</v>
      </c>
      <c r="B21" s="25"/>
      <c r="C21" s="37">
        <v>0.2</v>
      </c>
      <c r="D21" s="20">
        <f t="shared" ref="D21:D28" si="0">TRUNC(($D$17)*C21,2)</f>
        <v>321.68</v>
      </c>
    </row>
    <row r="22" spans="1:12">
      <c r="A22" s="36" t="s">
        <v>13</v>
      </c>
      <c r="B22" s="25"/>
      <c r="C22" s="37">
        <v>0.08</v>
      </c>
      <c r="D22" s="20">
        <f t="shared" si="0"/>
        <v>128.66999999999999</v>
      </c>
    </row>
    <row r="23" spans="1:12">
      <c r="A23" s="36" t="s">
        <v>14</v>
      </c>
      <c r="B23" s="25"/>
      <c r="C23" s="37">
        <v>1.4999999999999999E-2</v>
      </c>
      <c r="D23" s="20">
        <f t="shared" si="0"/>
        <v>24.12</v>
      </c>
      <c r="L23" s="38"/>
    </row>
    <row r="24" spans="1:12">
      <c r="A24" s="36" t="s">
        <v>15</v>
      </c>
      <c r="B24" s="25"/>
      <c r="C24" s="37">
        <v>0.01</v>
      </c>
      <c r="D24" s="20">
        <f t="shared" si="0"/>
        <v>16.079999999999998</v>
      </c>
    </row>
    <row r="25" spans="1:12">
      <c r="A25" s="36" t="s">
        <v>16</v>
      </c>
      <c r="B25" s="25"/>
      <c r="C25" s="37">
        <v>2E-3</v>
      </c>
      <c r="D25" s="20">
        <f t="shared" si="0"/>
        <v>3.21</v>
      </c>
    </row>
    <row r="26" spans="1:12">
      <c r="A26" s="36" t="s">
        <v>17</v>
      </c>
      <c r="B26" s="25"/>
      <c r="C26" s="37">
        <v>6.0000000000000001E-3</v>
      </c>
      <c r="D26" s="20">
        <f t="shared" si="0"/>
        <v>9.65</v>
      </c>
    </row>
    <row r="27" spans="1:12">
      <c r="A27" s="36" t="s">
        <v>18</v>
      </c>
      <c r="B27" s="25"/>
      <c r="C27" s="37">
        <v>2.5000000000000001E-2</v>
      </c>
      <c r="D27" s="20">
        <f t="shared" si="0"/>
        <v>40.21</v>
      </c>
    </row>
    <row r="28" spans="1:12" ht="17.25" customHeight="1">
      <c r="A28" s="247" t="s">
        <v>19</v>
      </c>
      <c r="B28" s="247"/>
      <c r="C28" s="37">
        <v>0.03</v>
      </c>
      <c r="D28" s="20">
        <f t="shared" si="0"/>
        <v>48.25</v>
      </c>
    </row>
    <row r="29" spans="1:12">
      <c r="A29" s="31" t="s">
        <v>61</v>
      </c>
      <c r="B29" s="39"/>
      <c r="C29" s="40">
        <f>SUM(C21:C28)</f>
        <v>0.3680000000000001</v>
      </c>
      <c r="D29" s="115">
        <f>SUM(D21:D28)</f>
        <v>591.87</v>
      </c>
    </row>
    <row r="30" spans="1:12">
      <c r="A30" s="41" t="s">
        <v>88</v>
      </c>
      <c r="B30" s="41"/>
      <c r="C30" s="40"/>
      <c r="D30" s="115"/>
    </row>
    <row r="31" spans="1:12">
      <c r="A31" s="42" t="s">
        <v>20</v>
      </c>
      <c r="B31" s="43"/>
      <c r="C31" s="44">
        <f>1/12</f>
        <v>8.3333333333333329E-2</v>
      </c>
      <c r="D31" s="20">
        <f>TRUNC(($D$17)*C31,2)</f>
        <v>134.03</v>
      </c>
    </row>
    <row r="32" spans="1:12">
      <c r="A32" s="100" t="s">
        <v>62</v>
      </c>
      <c r="B32" s="45"/>
      <c r="C32" s="46">
        <f>(1/12)</f>
        <v>8.3333333333333329E-2</v>
      </c>
      <c r="D32" s="20">
        <f t="shared" ref="D32:D38" si="1">TRUNC(($D$17)*C32,2)</f>
        <v>134.03</v>
      </c>
    </row>
    <row r="33" spans="1:6" s="13" customFormat="1">
      <c r="A33" s="144" t="s">
        <v>21</v>
      </c>
      <c r="B33" s="45"/>
      <c r="C33" s="45">
        <f>(((100% / 30) * 7) / 12)</f>
        <v>1.9444444444444445E-2</v>
      </c>
      <c r="D33" s="20">
        <f t="shared" si="1"/>
        <v>31.27</v>
      </c>
      <c r="E33" s="12"/>
      <c r="F33" s="12"/>
    </row>
    <row r="34" spans="1:6" s="13" customFormat="1">
      <c r="A34" s="144" t="s">
        <v>22</v>
      </c>
      <c r="B34" s="45"/>
      <c r="C34" s="45">
        <f>(1462463/54796761)/12</f>
        <v>2.2240715407734896E-3</v>
      </c>
      <c r="D34" s="20">
        <f t="shared" si="1"/>
        <v>3.57</v>
      </c>
      <c r="E34" s="12"/>
      <c r="F34" s="12"/>
    </row>
    <row r="35" spans="1:6" s="13" customFormat="1">
      <c r="A35" s="144" t="s">
        <v>23</v>
      </c>
      <c r="B35" s="45"/>
      <c r="C35" s="45">
        <f>(((100% /30) * 15) / 12) * 1.22%</f>
        <v>5.0833333333333329E-4</v>
      </c>
      <c r="D35" s="20">
        <f t="shared" si="1"/>
        <v>0.81</v>
      </c>
      <c r="E35" s="12"/>
      <c r="F35" s="12"/>
    </row>
    <row r="36" spans="1:6" s="13" customFormat="1">
      <c r="A36" s="144" t="s">
        <v>24</v>
      </c>
      <c r="B36" s="45"/>
      <c r="C36" s="45">
        <f>((100%/30)*1.4947)/12</f>
        <v>4.1519444444444442E-3</v>
      </c>
      <c r="D36" s="20">
        <f t="shared" si="1"/>
        <v>6.67</v>
      </c>
      <c r="E36" s="12"/>
      <c r="F36" s="12"/>
    </row>
    <row r="37" spans="1:6" s="13" customFormat="1">
      <c r="A37" s="248" t="s">
        <v>25</v>
      </c>
      <c r="B37" s="248"/>
      <c r="C37" s="45">
        <f>(8.333%*1.416%*4/12)</f>
        <v>3.933176E-4</v>
      </c>
      <c r="D37" s="20">
        <f t="shared" si="1"/>
        <v>0.63</v>
      </c>
      <c r="E37" s="12"/>
      <c r="F37" s="12"/>
    </row>
    <row r="38" spans="1:6" s="13" customFormat="1">
      <c r="A38" s="145" t="s">
        <v>26</v>
      </c>
      <c r="B38" s="147"/>
      <c r="C38" s="45">
        <f>(((100%/30)*5)/12)*1.416%</f>
        <v>1.9666666666666663E-4</v>
      </c>
      <c r="D38" s="20">
        <f t="shared" si="1"/>
        <v>0.31</v>
      </c>
      <c r="E38" s="12"/>
      <c r="F38" s="12"/>
    </row>
    <row r="39" spans="1:6" s="51" customFormat="1">
      <c r="A39" s="47" t="s">
        <v>8</v>
      </c>
      <c r="B39" s="48"/>
      <c r="C39" s="49">
        <f>SUM(C31:C38)</f>
        <v>0.19358544469632905</v>
      </c>
      <c r="D39" s="116">
        <f>SUM(D31:D38)</f>
        <v>311.32</v>
      </c>
      <c r="E39" s="50"/>
      <c r="F39" s="50"/>
    </row>
    <row r="40" spans="1:6">
      <c r="A40" s="41" t="s">
        <v>2</v>
      </c>
      <c r="B40" s="41"/>
      <c r="C40" s="40"/>
      <c r="D40" s="115"/>
    </row>
    <row r="41" spans="1:6">
      <c r="A41" s="42" t="s">
        <v>27</v>
      </c>
      <c r="B41" s="52"/>
      <c r="C41" s="52">
        <f>1/12*5%</f>
        <v>4.1666666666666666E-3</v>
      </c>
      <c r="D41" s="20">
        <f>TRUNC(($D$17)*C41,2)</f>
        <v>6.7</v>
      </c>
    </row>
    <row r="42" spans="1:6" s="13" customFormat="1">
      <c r="A42" s="144" t="s">
        <v>28</v>
      </c>
      <c r="B42" s="148"/>
      <c r="C42" s="148">
        <f>1/12*3.4275%</f>
        <v>2.8562499999999998E-3</v>
      </c>
      <c r="D42" s="20">
        <f t="shared" ref="D42:D46" si="2">TRUNC(($D$17)*C42,2)</f>
        <v>4.59</v>
      </c>
      <c r="E42" s="12"/>
      <c r="F42" s="12"/>
    </row>
    <row r="43" spans="1:6" ht="30" customHeight="1">
      <c r="A43" s="248" t="s">
        <v>33</v>
      </c>
      <c r="B43" s="248"/>
      <c r="C43" s="53">
        <f>40%*8%</f>
        <v>3.2000000000000001E-2</v>
      </c>
      <c r="D43" s="20">
        <f t="shared" si="2"/>
        <v>51.46</v>
      </c>
    </row>
    <row r="44" spans="1:6" ht="30" customHeight="1">
      <c r="A44" s="248" t="s">
        <v>34</v>
      </c>
      <c r="B44" s="248"/>
      <c r="C44" s="53">
        <f>10%*8%</f>
        <v>8.0000000000000002E-3</v>
      </c>
      <c r="D44" s="20">
        <f t="shared" si="2"/>
        <v>12.86</v>
      </c>
    </row>
    <row r="45" spans="1:6" ht="21.75" customHeight="1">
      <c r="A45" s="248" t="s">
        <v>63</v>
      </c>
      <c r="B45" s="248"/>
      <c r="C45" s="134">
        <f>1/3*1/12</f>
        <v>2.7777777777777776E-2</v>
      </c>
      <c r="D45" s="20">
        <f t="shared" si="2"/>
        <v>44.67</v>
      </c>
    </row>
    <row r="46" spans="1:6" ht="30" customHeight="1">
      <c r="A46" s="249" t="s">
        <v>64</v>
      </c>
      <c r="B46" s="249"/>
      <c r="C46" s="134">
        <f>1/3*C37</f>
        <v>1.3110586666666667E-4</v>
      </c>
      <c r="D46" s="20">
        <f t="shared" si="2"/>
        <v>0.21</v>
      </c>
      <c r="F46" s="146"/>
    </row>
    <row r="47" spans="1:6">
      <c r="A47" s="47" t="s">
        <v>3</v>
      </c>
      <c r="B47" s="54"/>
      <c r="C47" s="54">
        <f>SUM(C41:C46)</f>
        <v>7.4931800311111116E-2</v>
      </c>
      <c r="D47" s="116">
        <f>SUM(D41:D46)</f>
        <v>120.49</v>
      </c>
    </row>
    <row r="48" spans="1:6">
      <c r="A48" s="34" t="s">
        <v>4</v>
      </c>
      <c r="B48" s="34"/>
      <c r="C48" s="48"/>
      <c r="D48" s="116"/>
    </row>
    <row r="49" spans="1:6" ht="22.5" customHeight="1">
      <c r="A49" s="250" t="s">
        <v>29</v>
      </c>
      <c r="B49" s="250"/>
      <c r="C49" s="55">
        <f>C29*C39</f>
        <v>7.1239443648249107E-2</v>
      </c>
      <c r="D49" s="117">
        <f>TRUNC($D$17*C49,2)</f>
        <v>114.58</v>
      </c>
    </row>
    <row r="50" spans="1:6">
      <c r="A50" s="47" t="s">
        <v>5</v>
      </c>
      <c r="B50" s="48"/>
      <c r="C50" s="48">
        <f>SUM(C49)</f>
        <v>7.1239443648249107E-2</v>
      </c>
      <c r="D50" s="116">
        <f>SUM(D49)</f>
        <v>114.58</v>
      </c>
    </row>
    <row r="51" spans="1:6">
      <c r="A51" s="56" t="s">
        <v>6</v>
      </c>
      <c r="B51" s="56"/>
      <c r="C51" s="135"/>
      <c r="D51" s="20"/>
    </row>
    <row r="52" spans="1:6" ht="24" customHeight="1">
      <c r="A52" s="242" t="s">
        <v>65</v>
      </c>
      <c r="B52" s="242"/>
      <c r="C52" s="57">
        <f>8%*C41</f>
        <v>3.3333333333333332E-4</v>
      </c>
      <c r="D52" s="118">
        <f>TRUNC($D$17*C52,2)</f>
        <v>0.53</v>
      </c>
    </row>
    <row r="53" spans="1:6" ht="42.75" customHeight="1">
      <c r="A53" s="260" t="s">
        <v>66</v>
      </c>
      <c r="B53" s="260"/>
      <c r="C53" s="58">
        <f>8%*C35</f>
        <v>4.0666666666666661E-5</v>
      </c>
      <c r="D53" s="20">
        <f>TRUNC($D$17*C53,2)</f>
        <v>0.06</v>
      </c>
    </row>
    <row r="54" spans="1:6" s="13" customFormat="1" ht="18" customHeight="1">
      <c r="A54" s="261" t="s">
        <v>104</v>
      </c>
      <c r="B54" s="261"/>
      <c r="C54" s="59">
        <f>C22*C45</f>
        <v>2.2222222222222222E-3</v>
      </c>
      <c r="D54" s="119">
        <f>TRUNC($D$17*C54,2)</f>
        <v>3.57</v>
      </c>
      <c r="E54" s="12"/>
      <c r="F54" s="12"/>
    </row>
    <row r="55" spans="1:6">
      <c r="A55" s="31" t="s">
        <v>9</v>
      </c>
      <c r="B55" s="32"/>
      <c r="C55" s="32">
        <f>SUM(C52:C54)</f>
        <v>2.596222222222222E-3</v>
      </c>
      <c r="D55" s="115">
        <f>SUM(D52:D54)</f>
        <v>4.16</v>
      </c>
    </row>
    <row r="56" spans="1:6">
      <c r="A56" s="41" t="s">
        <v>7</v>
      </c>
      <c r="B56" s="41"/>
      <c r="C56" s="40"/>
      <c r="D56" s="115"/>
    </row>
    <row r="57" spans="1:6" ht="43.5" customHeight="1">
      <c r="A57" s="262" t="s">
        <v>30</v>
      </c>
      <c r="B57" s="262"/>
      <c r="C57" s="37">
        <f>C29*(4/12)*2/100</f>
        <v>2.4533333333333338E-3</v>
      </c>
      <c r="D57" s="120">
        <f>TRUNC($D$17*C57,2)</f>
        <v>3.94</v>
      </c>
    </row>
    <row r="58" spans="1:6">
      <c r="A58" s="31" t="s">
        <v>10</v>
      </c>
      <c r="B58" s="32"/>
      <c r="C58" s="136">
        <f>SUM(C57)</f>
        <v>2.4533333333333338E-3</v>
      </c>
      <c r="D58" s="115">
        <f>SUM(D57)</f>
        <v>3.94</v>
      </c>
    </row>
    <row r="59" spans="1:6">
      <c r="A59" s="99" t="s">
        <v>44</v>
      </c>
      <c r="B59" s="60"/>
      <c r="C59" s="137">
        <f>C58+C55+C50+C47+C39+C29</f>
        <v>0.71280624421124494</v>
      </c>
      <c r="D59" s="30">
        <f>D58+D55+D50+D47+D39+D29</f>
        <v>1146.3600000000001</v>
      </c>
    </row>
    <row r="60" spans="1:6" ht="8.25" customHeight="1">
      <c r="A60" s="31"/>
      <c r="B60" s="32"/>
      <c r="C60" s="33"/>
      <c r="D60" s="115"/>
    </row>
    <row r="61" spans="1:6" s="103" customFormat="1" ht="16.5" customHeight="1">
      <c r="A61" s="263" t="s">
        <v>43</v>
      </c>
      <c r="B61" s="263"/>
      <c r="C61" s="263"/>
      <c r="D61" s="30">
        <f>D59+D17</f>
        <v>2754.7849999999999</v>
      </c>
      <c r="E61" s="101"/>
      <c r="F61" s="102"/>
    </row>
    <row r="62" spans="1:6" ht="8.25" customHeight="1">
      <c r="A62" s="31"/>
      <c r="B62" s="32"/>
      <c r="C62" s="33"/>
      <c r="D62" s="115"/>
    </row>
    <row r="63" spans="1:6">
      <c r="A63" s="213" t="s">
        <v>166</v>
      </c>
      <c r="B63" s="99"/>
      <c r="C63" s="62"/>
      <c r="D63" s="121"/>
    </row>
    <row r="64" spans="1:6">
      <c r="A64" s="63" t="s">
        <v>11</v>
      </c>
      <c r="B64" s="63"/>
      <c r="C64" s="64"/>
      <c r="D64" s="122">
        <v>85.46</v>
      </c>
    </row>
    <row r="65" spans="1:6">
      <c r="A65" s="65" t="s">
        <v>32</v>
      </c>
      <c r="B65" s="65"/>
      <c r="C65" s="64"/>
      <c r="D65" s="122">
        <f>15*18.5</f>
        <v>277.5</v>
      </c>
    </row>
    <row r="66" spans="1:6">
      <c r="A66" s="63" t="s">
        <v>99</v>
      </c>
      <c r="B66" s="63"/>
      <c r="C66" s="64"/>
      <c r="D66" s="122">
        <f>15*2*4</f>
        <v>120</v>
      </c>
    </row>
    <row r="67" spans="1:6" ht="15" customHeight="1">
      <c r="A67" s="248" t="s">
        <v>171</v>
      </c>
      <c r="B67" s="248"/>
      <c r="C67" s="248"/>
      <c r="D67" s="122">
        <f>IF(D66&gt;6%*D11,-6%*D11,-D66)</f>
        <v>-74.234999999999999</v>
      </c>
    </row>
    <row r="68" spans="1:6">
      <c r="A68" s="63" t="s">
        <v>100</v>
      </c>
      <c r="B68" s="63"/>
      <c r="C68" s="64"/>
      <c r="D68" s="122">
        <f>'Equip. Vigilância'!Y15+'Equip. Vigilância'!Y20</f>
        <v>852.26673333333349</v>
      </c>
      <c r="E68" s="66"/>
    </row>
    <row r="69" spans="1:6" s="70" customFormat="1">
      <c r="A69" s="65" t="s">
        <v>162</v>
      </c>
      <c r="B69" s="65"/>
      <c r="C69" s="64"/>
      <c r="D69" s="159">
        <f>-(0.1*D65)</f>
        <v>-27.75</v>
      </c>
      <c r="E69" s="69"/>
      <c r="F69" s="69"/>
    </row>
    <row r="70" spans="1:6" s="70" customFormat="1">
      <c r="A70" s="254" t="s">
        <v>165</v>
      </c>
      <c r="B70" s="255"/>
      <c r="C70" s="255"/>
      <c r="D70" s="159">
        <v>52.5</v>
      </c>
      <c r="E70" s="69"/>
      <c r="F70" s="69"/>
    </row>
    <row r="71" spans="1:6" s="29" customFormat="1">
      <c r="A71" s="71" t="s">
        <v>45</v>
      </c>
      <c r="B71" s="72"/>
      <c r="C71" s="62"/>
      <c r="D71" s="121">
        <f>SUM(D64:D70)</f>
        <v>1285.7417333333335</v>
      </c>
      <c r="E71" s="28"/>
      <c r="F71" s="28"/>
    </row>
    <row r="72" spans="1:6" ht="16.5" customHeight="1">
      <c r="A72" s="31"/>
      <c r="B72" s="32"/>
      <c r="C72" s="33"/>
      <c r="D72" s="115"/>
    </row>
    <row r="73" spans="1:6" s="29" customFormat="1">
      <c r="A73" s="99" t="s">
        <v>122</v>
      </c>
      <c r="B73" s="99"/>
      <c r="C73" s="62"/>
      <c r="D73" s="121">
        <v>164.55</v>
      </c>
      <c r="E73" s="28"/>
      <c r="F73" s="28"/>
    </row>
    <row r="74" spans="1:6" s="29" customFormat="1">
      <c r="A74" s="264" t="s">
        <v>123</v>
      </c>
      <c r="B74" s="264"/>
      <c r="C74" s="73"/>
      <c r="D74" s="121">
        <f>D73</f>
        <v>164.55</v>
      </c>
      <c r="E74" s="28"/>
      <c r="F74" s="28"/>
    </row>
    <row r="75" spans="1:6" ht="15.75" customHeight="1">
      <c r="A75" s="31"/>
      <c r="B75" s="32"/>
      <c r="C75" s="33"/>
      <c r="D75" s="115"/>
    </row>
    <row r="76" spans="1:6" s="29" customFormat="1" ht="29.25" customHeight="1">
      <c r="A76" s="251" t="s">
        <v>124</v>
      </c>
      <c r="B76" s="251"/>
      <c r="C76" s="251"/>
      <c r="D76" s="30">
        <f>SUM(D61,D71,D74)</f>
        <v>4205.0767333333333</v>
      </c>
      <c r="E76" s="28"/>
      <c r="F76" s="28"/>
    </row>
    <row r="77" spans="1:6" s="108" customFormat="1" ht="14.25" customHeight="1">
      <c r="A77" s="106"/>
      <c r="B77" s="106"/>
      <c r="C77" s="106"/>
      <c r="D77" s="123"/>
      <c r="E77" s="107"/>
      <c r="F77" s="107"/>
    </row>
    <row r="78" spans="1:6" s="29" customFormat="1" ht="16.5" customHeight="1">
      <c r="A78" s="18" t="s">
        <v>114</v>
      </c>
      <c r="B78" s="105"/>
      <c r="C78" s="105"/>
      <c r="D78" s="124"/>
      <c r="E78" s="28"/>
      <c r="F78" s="28"/>
    </row>
    <row r="79" spans="1:6" s="29" customFormat="1" ht="21.75" customHeight="1">
      <c r="A79" s="256" t="s">
        <v>67</v>
      </c>
      <c r="B79" s="256"/>
      <c r="C79" s="74"/>
      <c r="D79" s="125"/>
      <c r="E79" s="28"/>
      <c r="F79" s="28"/>
    </row>
    <row r="80" spans="1:6" s="29" customFormat="1">
      <c r="A80" s="257" t="s">
        <v>12</v>
      </c>
      <c r="B80" s="257"/>
      <c r="C80" s="76">
        <v>0.05</v>
      </c>
      <c r="D80" s="126">
        <f>C80*D76</f>
        <v>210.25383666666667</v>
      </c>
      <c r="E80" s="28"/>
      <c r="F80" s="28"/>
    </row>
    <row r="81" spans="1:6" s="29" customFormat="1">
      <c r="A81" s="77" t="s">
        <v>38</v>
      </c>
      <c r="B81" s="78"/>
      <c r="C81" s="79">
        <v>0.1</v>
      </c>
      <c r="D81" s="127">
        <f>C81*D76</f>
        <v>420.50767333333334</v>
      </c>
      <c r="E81" s="28"/>
      <c r="F81" s="28"/>
    </row>
    <row r="82" spans="1:6" s="29" customFormat="1" ht="17.25" customHeight="1">
      <c r="A82" s="258" t="s">
        <v>39</v>
      </c>
      <c r="B82" s="258"/>
      <c r="C82" s="143">
        <f>SUM(C80:C81)</f>
        <v>0.15000000000000002</v>
      </c>
      <c r="D82" s="128">
        <f>D81+D80</f>
        <v>630.76151000000004</v>
      </c>
      <c r="E82" s="28"/>
      <c r="F82" s="28"/>
    </row>
    <row r="83" spans="1:6" s="29" customFormat="1" ht="16.5" customHeight="1">
      <c r="A83" s="80"/>
      <c r="B83" s="81"/>
      <c r="C83" s="82"/>
      <c r="D83" s="129"/>
      <c r="E83" s="28"/>
      <c r="F83" s="28"/>
    </row>
    <row r="84" spans="1:6" s="29" customFormat="1" ht="18.75" customHeight="1">
      <c r="A84" s="256" t="s">
        <v>68</v>
      </c>
      <c r="B84" s="256"/>
      <c r="C84" s="74"/>
      <c r="D84" s="125"/>
      <c r="E84" s="28"/>
      <c r="F84" s="28"/>
    </row>
    <row r="85" spans="1:6" s="29" customFormat="1">
      <c r="A85" s="75" t="s">
        <v>53</v>
      </c>
      <c r="B85" s="83"/>
      <c r="C85" s="139">
        <v>0.05</v>
      </c>
      <c r="D85" s="130">
        <f>(D76+D82)/(1-C88)*C85</f>
        <v>264.68736964057661</v>
      </c>
      <c r="E85" s="28"/>
      <c r="F85" s="28"/>
    </row>
    <row r="86" spans="1:6" s="29" customFormat="1">
      <c r="A86" s="65" t="s">
        <v>0</v>
      </c>
      <c r="B86" s="84"/>
      <c r="C86" s="140">
        <v>0.03</v>
      </c>
      <c r="D86" s="131">
        <f>(D76+D82)/(1-C88)*C86</f>
        <v>158.81242178434593</v>
      </c>
      <c r="E86" s="28"/>
      <c r="F86" s="28"/>
    </row>
    <row r="87" spans="1:6" s="29" customFormat="1">
      <c r="A87" s="85" t="s">
        <v>1</v>
      </c>
      <c r="B87" s="86"/>
      <c r="C87" s="141">
        <v>6.4999999999999997E-3</v>
      </c>
      <c r="D87" s="132">
        <f>(D76+D82)/(1-C88)*C87</f>
        <v>34.40935805327495</v>
      </c>
      <c r="E87" s="28"/>
      <c r="F87" s="28"/>
    </row>
    <row r="88" spans="1:6" s="29" customFormat="1" ht="20.25" customHeight="1">
      <c r="A88" s="259" t="s">
        <v>52</v>
      </c>
      <c r="B88" s="259"/>
      <c r="C88" s="87">
        <f>SUM(C85:C87)</f>
        <v>8.6500000000000007E-2</v>
      </c>
      <c r="D88" s="128">
        <f>SUM(D85:D87)</f>
        <v>457.90914947819749</v>
      </c>
      <c r="E88" s="28"/>
      <c r="F88" s="28"/>
    </row>
    <row r="89" spans="1:6" s="29" customFormat="1" ht="18" customHeight="1">
      <c r="A89" s="80"/>
      <c r="B89" s="81"/>
      <c r="C89" s="82"/>
      <c r="D89" s="129"/>
      <c r="E89" s="28"/>
      <c r="F89" s="28"/>
    </row>
    <row r="90" spans="1:6" s="29" customFormat="1" ht="20.25" customHeight="1">
      <c r="A90" s="251" t="s">
        <v>112</v>
      </c>
      <c r="B90" s="251"/>
      <c r="C90" s="61"/>
      <c r="D90" s="30">
        <f>D76+D82+D88</f>
        <v>5293.7473928115314</v>
      </c>
      <c r="E90" s="28"/>
      <c r="F90" s="28"/>
    </row>
    <row r="91" spans="1:6">
      <c r="A91" s="252" t="s">
        <v>113</v>
      </c>
      <c r="B91" s="252"/>
      <c r="C91" s="252"/>
      <c r="D91" s="138">
        <v>2</v>
      </c>
    </row>
    <row r="92" spans="1:6" s="29" customFormat="1">
      <c r="A92" s="88" t="s">
        <v>101</v>
      </c>
      <c r="B92" s="88"/>
      <c r="C92" s="89"/>
      <c r="D92" s="133">
        <f>D90*D91</f>
        <v>10587.494785623063</v>
      </c>
      <c r="E92" s="28"/>
      <c r="F92" s="28"/>
    </row>
    <row r="93" spans="1:6" s="29" customFormat="1">
      <c r="A93" s="88" t="s">
        <v>102</v>
      </c>
      <c r="B93" s="88"/>
      <c r="C93" s="89"/>
      <c r="D93" s="133">
        <f>D92*12</f>
        <v>127049.93742747675</v>
      </c>
      <c r="E93" s="28"/>
      <c r="F93" s="28"/>
    </row>
    <row r="94" spans="1:6">
      <c r="C94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7">
    <mergeCell ref="A91:C91"/>
    <mergeCell ref="A5:D5"/>
    <mergeCell ref="A6:D6"/>
    <mergeCell ref="A79:B79"/>
    <mergeCell ref="A28:B28"/>
    <mergeCell ref="A43:B43"/>
    <mergeCell ref="A44:B44"/>
    <mergeCell ref="A45:B45"/>
    <mergeCell ref="A46:B46"/>
    <mergeCell ref="A52:B52"/>
    <mergeCell ref="A53:B53"/>
    <mergeCell ref="A54:B54"/>
    <mergeCell ref="A57:B57"/>
    <mergeCell ref="A90:B90"/>
    <mergeCell ref="A84:B84"/>
    <mergeCell ref="A88:B88"/>
    <mergeCell ref="A17:B17"/>
    <mergeCell ref="A37:B37"/>
    <mergeCell ref="A82:B82"/>
    <mergeCell ref="A67:C67"/>
    <mergeCell ref="A19:C19"/>
    <mergeCell ref="A49:B49"/>
    <mergeCell ref="A76:C76"/>
    <mergeCell ref="A80:B80"/>
    <mergeCell ref="A74:B74"/>
    <mergeCell ref="A61:C61"/>
    <mergeCell ref="A70:C70"/>
  </mergeCells>
  <dataValidations disablePrompts="1" xWindow="879" yWindow="245" count="1">
    <dataValidation type="list" allowBlank="1" showInputMessage="1" showErrorMessage="1" promptTitle="SERVIÇO" prompt="Escolha o Serviço a ser contratado" sqref="A6" xr:uid="{00000000-0002-0000-0000-000000000000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8449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18449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7</xdr:row>
                    <xdr:rowOff>66675</xdr:rowOff>
                  </from>
                  <to>
                    <xdr:col>3</xdr:col>
                    <xdr:colOff>1143000</xdr:colOff>
                    <xdr:row>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6</xdr:row>
                    <xdr:rowOff>9525</xdr:rowOff>
                  </from>
                  <to>
                    <xdr:col>3</xdr:col>
                    <xdr:colOff>1123950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xWindow="879" yWindow="245" count="3">
        <x14:dataValidation type="list" allowBlank="1" showInputMessage="1" showErrorMessage="1" xr:uid="{00000000-0002-0000-0000-000001000000}">
          <x14:formula1>
            <xm:f>'Dados - Não mexer'!$B$2:$B$4</xm:f>
          </x14:formula1>
          <xm:sqref>B7</xm:sqref>
        </x14:dataValidation>
        <x14:dataValidation type="list" allowBlank="1" showInputMessage="1" showErrorMessage="1" xr:uid="{00000000-0002-0000-0000-000002000000}">
          <x14:formula1>
            <xm:f>'Dados - Não mexer'!$C$2:$C$3</xm:f>
          </x14:formula1>
          <xm:sqref>B8</xm:sqref>
        </x14:dataValidation>
        <x14:dataValidation type="list" allowBlank="1" showInputMessage="1" showErrorMessage="1" xr:uid="{00000000-0002-0000-0000-000003000000}">
          <x14:formula1>
            <xm:f>'Dados - Não mexer'!$D$2:$D$5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4E021-01C7-4596-84D7-5145B63DDFCA}">
  <sheetPr>
    <tabColor theme="4" tint="0.79998168889431442"/>
  </sheetPr>
  <dimension ref="A5:L99"/>
  <sheetViews>
    <sheetView showGridLines="0" view="pageBreakPreview" topLeftCell="A8" zoomScaleNormal="115" zoomScaleSheetLayoutView="100" workbookViewId="0">
      <selection activeCell="H8" sqref="H8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53" t="s">
        <v>172</v>
      </c>
      <c r="B5" s="253"/>
      <c r="C5" s="253"/>
      <c r="D5" s="253"/>
    </row>
    <row r="7" spans="1:8">
      <c r="A7" s="243" t="s">
        <v>89</v>
      </c>
      <c r="B7" s="243"/>
      <c r="C7" s="243"/>
      <c r="D7" s="243"/>
    </row>
    <row r="8" spans="1:8">
      <c r="A8" s="265" t="s">
        <v>117</v>
      </c>
      <c r="B8" s="265"/>
      <c r="C8" s="265"/>
      <c r="D8" s="265"/>
      <c r="H8" s="13"/>
    </row>
    <row r="9" spans="1:8" s="13" customFormat="1">
      <c r="A9" s="8" t="s">
        <v>86</v>
      </c>
      <c r="B9" s="9" t="s">
        <v>55</v>
      </c>
      <c r="C9" s="10"/>
      <c r="D9" s="11"/>
      <c r="E9" s="12"/>
      <c r="F9" s="12"/>
    </row>
    <row r="10" spans="1:8" s="13" customFormat="1">
      <c r="A10" s="8" t="s">
        <v>87</v>
      </c>
      <c r="B10" s="9" t="s">
        <v>56</v>
      </c>
      <c r="C10" s="11"/>
      <c r="D10" s="11"/>
      <c r="E10" s="14" t="b">
        <v>1</v>
      </c>
      <c r="F10" s="12" t="b">
        <v>1</v>
      </c>
    </row>
    <row r="11" spans="1:8" s="13" customFormat="1" ht="20.25" customHeight="1">
      <c r="A11" s="15" t="str">
        <f>IF(E10=TRUE,"Salário Mínimo local (R$)","")</f>
        <v>Salário Mínimo local (R$)</v>
      </c>
      <c r="B11" s="16">
        <v>1100</v>
      </c>
      <c r="C11" s="17"/>
      <c r="D11" s="17"/>
      <c r="E11" s="14" t="b">
        <v>0</v>
      </c>
      <c r="F11" s="12" t="b">
        <v>1</v>
      </c>
    </row>
    <row r="12" spans="1:8">
      <c r="A12" s="18" t="s">
        <v>57</v>
      </c>
      <c r="B12" s="18"/>
      <c r="C12" s="18"/>
      <c r="D12" s="18"/>
    </row>
    <row r="13" spans="1:8">
      <c r="A13" s="19" t="s">
        <v>98</v>
      </c>
      <c r="B13" s="19"/>
      <c r="C13" s="20"/>
      <c r="D13" s="110">
        <v>1237.25</v>
      </c>
    </row>
    <row r="14" spans="1:8">
      <c r="A14" s="21" t="str">
        <f>IF(E11=TRUE,"Adicional de Insalubridade","")</f>
        <v/>
      </c>
      <c r="B14" s="22" t="str">
        <f>IF(E11=TRUE,"% insalubridade","")</f>
        <v/>
      </c>
      <c r="C14" s="23">
        <v>0</v>
      </c>
      <c r="D14" s="111"/>
    </row>
    <row r="15" spans="1:8">
      <c r="A15" s="19" t="str">
        <f>IF(F11=TRUE,"Adicional de Periculosidade","")</f>
        <v>Adicional de Periculosidade</v>
      </c>
      <c r="B15" s="8" t="str">
        <f>IF(F11=TRUE,"% periculosidade","")</f>
        <v>% periculosidade</v>
      </c>
      <c r="C15" s="24">
        <f>IF(F11=TRUE,30%,"")</f>
        <v>0.3</v>
      </c>
      <c r="D15" s="111">
        <f>IF(F11=TRUE,$C$15*$D$13,"0")</f>
        <v>371.17500000000001</v>
      </c>
    </row>
    <row r="16" spans="1:8">
      <c r="A16" s="19" t="str">
        <f>IF(B10="Noturno","Adicional Noturno","")</f>
        <v>Adicional Noturno</v>
      </c>
      <c r="B16" s="19"/>
      <c r="C16" s="20"/>
      <c r="D16" s="111">
        <v>153.30000000000001</v>
      </c>
    </row>
    <row r="17" spans="1:12">
      <c r="A17" s="25" t="str">
        <f>IF(B10="Noturno","Hora Noturna Reduzida","")</f>
        <v>Hora Noturna Reduzida</v>
      </c>
      <c r="B17" s="25"/>
      <c r="C17" s="25"/>
      <c r="D17" s="112">
        <v>180.15</v>
      </c>
    </row>
    <row r="18" spans="1:12">
      <c r="A18" s="25" t="s">
        <v>168</v>
      </c>
      <c r="B18" s="25"/>
      <c r="C18" s="25"/>
      <c r="D18" s="112">
        <v>30.66</v>
      </c>
    </row>
    <row r="19" spans="1:12" s="29" customFormat="1">
      <c r="A19" s="25" t="s">
        <v>169</v>
      </c>
      <c r="B19" s="26"/>
      <c r="C19" s="27"/>
      <c r="D19" s="111">
        <v>36.03</v>
      </c>
      <c r="E19" s="28"/>
      <c r="F19" s="28"/>
    </row>
    <row r="20" spans="1:12">
      <c r="A20" s="263" t="s">
        <v>42</v>
      </c>
      <c r="B20" s="263"/>
      <c r="C20" s="30"/>
      <c r="D20" s="114">
        <f>SUM(D13:D19)</f>
        <v>2008.5650000000001</v>
      </c>
    </row>
    <row r="21" spans="1:12" ht="8.25" customHeight="1">
      <c r="A21" s="31"/>
      <c r="B21" s="32"/>
      <c r="C21" s="33"/>
      <c r="D21" s="115"/>
    </row>
    <row r="22" spans="1:12">
      <c r="A22" s="246" t="s">
        <v>59</v>
      </c>
      <c r="B22" s="246"/>
      <c r="C22" s="246"/>
      <c r="D22" s="30"/>
    </row>
    <row r="23" spans="1:12">
      <c r="A23" s="34" t="s">
        <v>60</v>
      </c>
      <c r="B23" s="34"/>
      <c r="C23" s="35"/>
      <c r="D23" s="116"/>
    </row>
    <row r="24" spans="1:12">
      <c r="A24" s="36" t="s">
        <v>91</v>
      </c>
      <c r="B24" s="25"/>
      <c r="C24" s="37">
        <v>0.2</v>
      </c>
      <c r="D24" s="20">
        <f>TRUNC(($D$20)*C24,2)</f>
        <v>401.71</v>
      </c>
      <c r="E24" s="20"/>
    </row>
    <row r="25" spans="1:12">
      <c r="A25" s="36" t="s">
        <v>13</v>
      </c>
      <c r="B25" s="25"/>
      <c r="C25" s="37">
        <v>0.08</v>
      </c>
      <c r="D25" s="20">
        <f t="shared" ref="D25:D31" si="0">TRUNC(($D$20)*C25,2)</f>
        <v>160.68</v>
      </c>
      <c r="E25" s="20"/>
    </row>
    <row r="26" spans="1:12">
      <c r="A26" s="36" t="s">
        <v>14</v>
      </c>
      <c r="B26" s="25"/>
      <c r="C26" s="37">
        <v>1.4999999999999999E-2</v>
      </c>
      <c r="D26" s="20">
        <f t="shared" si="0"/>
        <v>30.12</v>
      </c>
      <c r="E26" s="20"/>
      <c r="L26" s="38"/>
    </row>
    <row r="27" spans="1:12">
      <c r="A27" s="36" t="s">
        <v>15</v>
      </c>
      <c r="B27" s="25"/>
      <c r="C27" s="37">
        <v>0.01</v>
      </c>
      <c r="D27" s="20">
        <f t="shared" si="0"/>
        <v>20.079999999999998</v>
      </c>
      <c r="E27" s="20"/>
    </row>
    <row r="28" spans="1:12">
      <c r="A28" s="36" t="s">
        <v>16</v>
      </c>
      <c r="B28" s="25"/>
      <c r="C28" s="37">
        <v>2E-3</v>
      </c>
      <c r="D28" s="20">
        <f t="shared" si="0"/>
        <v>4.01</v>
      </c>
      <c r="E28" s="20"/>
    </row>
    <row r="29" spans="1:12">
      <c r="A29" s="36" t="s">
        <v>17</v>
      </c>
      <c r="B29" s="25"/>
      <c r="C29" s="37">
        <v>6.0000000000000001E-3</v>
      </c>
      <c r="D29" s="20">
        <f t="shared" si="0"/>
        <v>12.05</v>
      </c>
      <c r="E29" s="20"/>
    </row>
    <row r="30" spans="1:12">
      <c r="A30" s="36" t="s">
        <v>18</v>
      </c>
      <c r="B30" s="25"/>
      <c r="C30" s="37">
        <v>2.5000000000000001E-2</v>
      </c>
      <c r="D30" s="20">
        <f t="shared" si="0"/>
        <v>50.21</v>
      </c>
      <c r="E30" s="20"/>
    </row>
    <row r="31" spans="1:12" ht="17.25" customHeight="1">
      <c r="A31" s="247" t="s">
        <v>19</v>
      </c>
      <c r="B31" s="247"/>
      <c r="C31" s="37">
        <v>0.03</v>
      </c>
      <c r="D31" s="20">
        <f t="shared" si="0"/>
        <v>60.25</v>
      </c>
      <c r="E31" s="20"/>
    </row>
    <row r="32" spans="1:12">
      <c r="A32" s="31" t="s">
        <v>61</v>
      </c>
      <c r="B32" s="39"/>
      <c r="C32" s="40">
        <f>SUM(C24:C31)</f>
        <v>0.3680000000000001</v>
      </c>
      <c r="D32" s="115">
        <f>SUM(D24:D31)</f>
        <v>739.11</v>
      </c>
      <c r="E32" s="153"/>
    </row>
    <row r="33" spans="1:6">
      <c r="A33" s="41" t="s">
        <v>88</v>
      </c>
      <c r="B33" s="41"/>
      <c r="C33" s="40"/>
      <c r="D33" s="115"/>
      <c r="E33" s="153"/>
    </row>
    <row r="34" spans="1:6">
      <c r="A34" s="42" t="s">
        <v>20</v>
      </c>
      <c r="B34" s="43"/>
      <c r="C34" s="44">
        <f>1/12</f>
        <v>8.3333333333333329E-2</v>
      </c>
      <c r="D34" s="20">
        <f>TRUNC(($D$20)*C34,2)</f>
        <v>167.38</v>
      </c>
      <c r="E34" s="20"/>
    </row>
    <row r="35" spans="1:6">
      <c r="A35" s="212" t="s">
        <v>62</v>
      </c>
      <c r="B35" s="45"/>
      <c r="C35" s="46">
        <f>(1/12)</f>
        <v>8.3333333333333329E-2</v>
      </c>
      <c r="D35" s="20">
        <f t="shared" ref="D35:D41" si="1">TRUNC(($D$20)*C35,2)</f>
        <v>167.38</v>
      </c>
      <c r="E35" s="20"/>
    </row>
    <row r="36" spans="1:6" s="13" customFormat="1">
      <c r="A36" s="212" t="s">
        <v>21</v>
      </c>
      <c r="B36" s="45"/>
      <c r="C36" s="45">
        <f>(((100% / 30) * 7) / 12)</f>
        <v>1.9444444444444445E-2</v>
      </c>
      <c r="D36" s="20">
        <f t="shared" si="1"/>
        <v>39.049999999999997</v>
      </c>
      <c r="E36" s="131"/>
      <c r="F36" s="12"/>
    </row>
    <row r="37" spans="1:6" s="13" customFormat="1">
      <c r="A37" s="212" t="s">
        <v>22</v>
      </c>
      <c r="B37" s="45"/>
      <c r="C37" s="45">
        <f>(1462463/54796761)/12</f>
        <v>2.2240715407734896E-3</v>
      </c>
      <c r="D37" s="20">
        <f t="shared" si="1"/>
        <v>4.46</v>
      </c>
      <c r="E37" s="131"/>
      <c r="F37" s="12"/>
    </row>
    <row r="38" spans="1:6" s="13" customFormat="1">
      <c r="A38" s="212" t="s">
        <v>23</v>
      </c>
      <c r="B38" s="45"/>
      <c r="C38" s="45">
        <f>(((100% /30) * 15) / 12) * 1.22%</f>
        <v>5.0833333333333329E-4</v>
      </c>
      <c r="D38" s="20">
        <f t="shared" si="1"/>
        <v>1.02</v>
      </c>
      <c r="E38" s="131"/>
      <c r="F38" s="12"/>
    </row>
    <row r="39" spans="1:6" s="13" customFormat="1">
      <c r="A39" s="212" t="s">
        <v>24</v>
      </c>
      <c r="B39" s="45"/>
      <c r="C39" s="45">
        <f>((100%/30)*1.4947)/12</f>
        <v>4.1519444444444442E-3</v>
      </c>
      <c r="D39" s="20">
        <f t="shared" si="1"/>
        <v>8.33</v>
      </c>
      <c r="E39" s="131"/>
      <c r="F39" s="12"/>
    </row>
    <row r="40" spans="1:6" s="13" customFormat="1">
      <c r="A40" s="248" t="s">
        <v>25</v>
      </c>
      <c r="B40" s="248"/>
      <c r="C40" s="45">
        <f>(8.333%*1.416%*4/12)</f>
        <v>3.933176E-4</v>
      </c>
      <c r="D40" s="20">
        <f t="shared" si="1"/>
        <v>0.79</v>
      </c>
      <c r="E40" s="131"/>
      <c r="F40" s="12"/>
    </row>
    <row r="41" spans="1:6" s="13" customFormat="1">
      <c r="A41" s="214" t="s">
        <v>26</v>
      </c>
      <c r="B41" s="147"/>
      <c r="C41" s="45">
        <f>(((100%/30)*5)/12)*1.416%</f>
        <v>1.9666666666666663E-4</v>
      </c>
      <c r="D41" s="20">
        <f t="shared" si="1"/>
        <v>0.39</v>
      </c>
      <c r="E41" s="131"/>
      <c r="F41" s="12"/>
    </row>
    <row r="42" spans="1:6" s="51" customFormat="1">
      <c r="A42" s="47" t="s">
        <v>8</v>
      </c>
      <c r="B42" s="48"/>
      <c r="C42" s="49">
        <f>SUM(C34:C41)</f>
        <v>0.19358544469632905</v>
      </c>
      <c r="D42" s="116">
        <f>SUM(D34:D41)</f>
        <v>388.79999999999995</v>
      </c>
      <c r="E42" s="154"/>
      <c r="F42" s="50"/>
    </row>
    <row r="43" spans="1:6">
      <c r="A43" s="41" t="s">
        <v>2</v>
      </c>
      <c r="B43" s="41"/>
      <c r="C43" s="40"/>
      <c r="D43" s="115"/>
      <c r="E43" s="153"/>
    </row>
    <row r="44" spans="1:6">
      <c r="A44" s="42" t="s">
        <v>27</v>
      </c>
      <c r="B44" s="52"/>
      <c r="C44" s="52">
        <f>1/12*5%</f>
        <v>4.1666666666666666E-3</v>
      </c>
      <c r="D44" s="20">
        <f>TRUNC(($D$20)*C44,2)</f>
        <v>8.36</v>
      </c>
      <c r="E44" s="20"/>
    </row>
    <row r="45" spans="1:6" s="13" customFormat="1">
      <c r="A45" s="212" t="s">
        <v>28</v>
      </c>
      <c r="B45" s="148"/>
      <c r="C45" s="148">
        <f>1/12*3.4275%</f>
        <v>2.8562499999999998E-3</v>
      </c>
      <c r="D45" s="20">
        <f t="shared" ref="D45:D49" si="2">TRUNC(($D$20)*C45,2)</f>
        <v>5.73</v>
      </c>
      <c r="E45" s="131"/>
      <c r="F45" s="12"/>
    </row>
    <row r="46" spans="1:6" ht="30" customHeight="1">
      <c r="A46" s="248" t="s">
        <v>33</v>
      </c>
      <c r="B46" s="248"/>
      <c r="C46" s="53">
        <f>40%*8%</f>
        <v>3.2000000000000001E-2</v>
      </c>
      <c r="D46" s="20">
        <f t="shared" si="2"/>
        <v>64.27</v>
      </c>
      <c r="E46" s="20"/>
    </row>
    <row r="47" spans="1:6" ht="30" customHeight="1">
      <c r="A47" s="248" t="s">
        <v>34</v>
      </c>
      <c r="B47" s="248"/>
      <c r="C47" s="53">
        <f>10%*8%</f>
        <v>8.0000000000000002E-3</v>
      </c>
      <c r="D47" s="20">
        <f t="shared" si="2"/>
        <v>16.059999999999999</v>
      </c>
      <c r="E47" s="20"/>
    </row>
    <row r="48" spans="1:6" ht="21.75" customHeight="1">
      <c r="A48" s="248" t="s">
        <v>63</v>
      </c>
      <c r="B48" s="248"/>
      <c r="C48" s="134">
        <f>1/3*1/12</f>
        <v>2.7777777777777776E-2</v>
      </c>
      <c r="D48" s="20">
        <f t="shared" si="2"/>
        <v>55.79</v>
      </c>
      <c r="E48" s="20"/>
    </row>
    <row r="49" spans="1:6" ht="30" customHeight="1">
      <c r="A49" s="249" t="s">
        <v>64</v>
      </c>
      <c r="B49" s="249"/>
      <c r="C49" s="134">
        <f>1/3*C40</f>
        <v>1.3110586666666667E-4</v>
      </c>
      <c r="D49" s="20">
        <f t="shared" si="2"/>
        <v>0.26</v>
      </c>
      <c r="E49" s="20"/>
      <c r="F49" s="146"/>
    </row>
    <row r="50" spans="1:6">
      <c r="A50" s="47" t="s">
        <v>3</v>
      </c>
      <c r="B50" s="54"/>
      <c r="C50" s="54">
        <f>SUM(C44:C49)</f>
        <v>7.4931800311111116E-2</v>
      </c>
      <c r="D50" s="116">
        <f>SUM(D44:D49)</f>
        <v>150.47</v>
      </c>
      <c r="E50" s="154"/>
    </row>
    <row r="51" spans="1:6">
      <c r="A51" s="34" t="s">
        <v>4</v>
      </c>
      <c r="B51" s="34"/>
      <c r="C51" s="48"/>
      <c r="D51" s="116"/>
      <c r="E51" s="154"/>
    </row>
    <row r="52" spans="1:6" ht="22.5" customHeight="1">
      <c r="A52" s="250" t="s">
        <v>29</v>
      </c>
      <c r="B52" s="250"/>
      <c r="C52" s="55">
        <f>C32*C42</f>
        <v>7.1239443648249107E-2</v>
      </c>
      <c r="D52" s="117">
        <f>TRUNC($D$20*C52,2)</f>
        <v>143.08000000000001</v>
      </c>
      <c r="E52" s="131"/>
    </row>
    <row r="53" spans="1:6">
      <c r="A53" s="47" t="s">
        <v>5</v>
      </c>
      <c r="B53" s="48"/>
      <c r="C53" s="48">
        <f>SUM(C52)</f>
        <v>7.1239443648249107E-2</v>
      </c>
      <c r="D53" s="116">
        <f>SUM(D52)</f>
        <v>143.08000000000001</v>
      </c>
      <c r="E53" s="154"/>
    </row>
    <row r="54" spans="1:6">
      <c r="A54" s="56" t="s">
        <v>6</v>
      </c>
      <c r="B54" s="56"/>
      <c r="C54" s="135"/>
      <c r="D54" s="20"/>
      <c r="E54" s="20"/>
    </row>
    <row r="55" spans="1:6" ht="24" customHeight="1">
      <c r="A55" s="242" t="s">
        <v>65</v>
      </c>
      <c r="B55" s="242"/>
      <c r="C55" s="57">
        <f>8%*C44</f>
        <v>3.3333333333333332E-4</v>
      </c>
      <c r="D55" s="118">
        <f>TRUNC($D$20*C55,2)</f>
        <v>0.66</v>
      </c>
      <c r="E55" s="20"/>
    </row>
    <row r="56" spans="1:6" ht="40.5" customHeight="1">
      <c r="A56" s="260" t="s">
        <v>66</v>
      </c>
      <c r="B56" s="260"/>
      <c r="C56" s="58">
        <f>8%*C38</f>
        <v>4.0666666666666661E-5</v>
      </c>
      <c r="D56" s="20">
        <f>TRUNC($D$20*C56,2)</f>
        <v>0.08</v>
      </c>
      <c r="E56" s="20"/>
    </row>
    <row r="57" spans="1:6" s="13" customFormat="1" ht="18" customHeight="1">
      <c r="A57" s="261" t="s">
        <v>104</v>
      </c>
      <c r="B57" s="261"/>
      <c r="C57" s="59">
        <f>C25*C48</f>
        <v>2.2222222222222222E-3</v>
      </c>
      <c r="D57" s="119">
        <f>TRUNC($D$20*C57,2)</f>
        <v>4.46</v>
      </c>
      <c r="E57" s="20"/>
      <c r="F57" s="12"/>
    </row>
    <row r="58" spans="1:6">
      <c r="A58" s="31" t="s">
        <v>9</v>
      </c>
      <c r="B58" s="32"/>
      <c r="C58" s="32">
        <f>SUM(C55:C57)</f>
        <v>2.596222222222222E-3</v>
      </c>
      <c r="D58" s="115">
        <f>SUM(D55:D57)</f>
        <v>5.2</v>
      </c>
      <c r="E58" s="153"/>
    </row>
    <row r="59" spans="1:6">
      <c r="A59" s="41" t="s">
        <v>7</v>
      </c>
      <c r="B59" s="41"/>
      <c r="C59" s="40"/>
      <c r="D59" s="115"/>
      <c r="E59" s="153"/>
    </row>
    <row r="60" spans="1:6" ht="42.75" customHeight="1">
      <c r="A60" s="262" t="s">
        <v>30</v>
      </c>
      <c r="B60" s="262"/>
      <c r="C60" s="37">
        <f>C32*(4/12)*2/100</f>
        <v>2.4533333333333338E-3</v>
      </c>
      <c r="D60" s="120">
        <f>TRUNC($D$20*C60,2)</f>
        <v>4.92</v>
      </c>
      <c r="E60" s="120"/>
    </row>
    <row r="61" spans="1:6">
      <c r="A61" s="31" t="s">
        <v>10</v>
      </c>
      <c r="B61" s="32"/>
      <c r="C61" s="136">
        <f>SUM(C60)</f>
        <v>2.4533333333333338E-3</v>
      </c>
      <c r="D61" s="115">
        <f>SUM(D60)</f>
        <v>4.92</v>
      </c>
      <c r="E61" s="153"/>
    </row>
    <row r="62" spans="1:6">
      <c r="A62" s="213" t="s">
        <v>44</v>
      </c>
      <c r="B62" s="60"/>
      <c r="C62" s="137">
        <f>C61+C58+C53+C50+C42+C32</f>
        <v>0.71280624421124494</v>
      </c>
      <c r="D62" s="30">
        <f>D61+D58+D53+D50+D42+D32</f>
        <v>1431.58</v>
      </c>
      <c r="E62" s="155"/>
    </row>
    <row r="63" spans="1:6" ht="8.25" customHeight="1">
      <c r="A63" s="31"/>
      <c r="B63" s="32"/>
      <c r="C63" s="33"/>
      <c r="D63" s="115"/>
      <c r="E63" s="156"/>
    </row>
    <row r="64" spans="1:6" s="103" customFormat="1" ht="16.5" customHeight="1">
      <c r="A64" s="263" t="s">
        <v>43</v>
      </c>
      <c r="B64" s="263"/>
      <c r="C64" s="263"/>
      <c r="D64" s="30">
        <f>D62+D20</f>
        <v>3440.145</v>
      </c>
      <c r="E64" s="157"/>
      <c r="F64" s="102"/>
    </row>
    <row r="65" spans="1:6" ht="8.25" customHeight="1">
      <c r="A65" s="31"/>
      <c r="B65" s="32"/>
      <c r="C65" s="33"/>
      <c r="D65" s="115"/>
      <c r="E65" s="156"/>
    </row>
    <row r="66" spans="1:6">
      <c r="A66" s="213" t="s">
        <v>166</v>
      </c>
      <c r="B66" s="213"/>
      <c r="C66" s="62"/>
      <c r="D66" s="121"/>
      <c r="E66" s="156"/>
    </row>
    <row r="67" spans="1:6">
      <c r="A67" s="63" t="s">
        <v>11</v>
      </c>
      <c r="B67" s="63"/>
      <c r="C67" s="64"/>
      <c r="D67" s="122">
        <v>85.46</v>
      </c>
      <c r="E67" s="156"/>
    </row>
    <row r="68" spans="1:6">
      <c r="A68" s="65" t="s">
        <v>32</v>
      </c>
      <c r="B68" s="65"/>
      <c r="C68" s="64"/>
      <c r="D68" s="122">
        <f>15*18.5</f>
        <v>277.5</v>
      </c>
    </row>
    <row r="69" spans="1:6">
      <c r="A69" s="63" t="s">
        <v>99</v>
      </c>
      <c r="B69" s="63"/>
      <c r="C69" s="64"/>
      <c r="D69" s="122">
        <f>15*2*4</f>
        <v>120</v>
      </c>
    </row>
    <row r="70" spans="1:6" ht="15" customHeight="1">
      <c r="A70" s="248" t="s">
        <v>180</v>
      </c>
      <c r="B70" s="248"/>
      <c r="C70" s="248"/>
      <c r="D70" s="122">
        <f>IF(D69&gt;6%*D13,-6%*D13,-D69)</f>
        <v>-74.234999999999999</v>
      </c>
    </row>
    <row r="71" spans="1:6">
      <c r="A71" s="63" t="s">
        <v>100</v>
      </c>
      <c r="B71" s="63"/>
      <c r="C71" s="64"/>
      <c r="D71" s="122">
        <f>'Equip. Vigilância'!Y15+'Equip. Vigilância'!Y20</f>
        <v>852.26673333333349</v>
      </c>
      <c r="E71" s="66"/>
    </row>
    <row r="72" spans="1:6" s="70" customFormat="1">
      <c r="A72" s="65" t="s">
        <v>162</v>
      </c>
      <c r="B72" s="65"/>
      <c r="C72" s="64"/>
      <c r="D72" s="159">
        <f>-(0.1*D68)</f>
        <v>-27.75</v>
      </c>
      <c r="E72" s="69"/>
      <c r="F72" s="69"/>
    </row>
    <row r="73" spans="1:6" s="70" customFormat="1">
      <c r="A73" s="65" t="s">
        <v>178</v>
      </c>
      <c r="B73" s="65"/>
      <c r="C73" s="64"/>
      <c r="D73" s="159">
        <v>552.79999999999995</v>
      </c>
      <c r="E73" s="69"/>
      <c r="F73" s="69"/>
    </row>
    <row r="74" spans="1:6" s="70" customFormat="1">
      <c r="A74" s="65" t="s">
        <v>170</v>
      </c>
      <c r="B74" s="67"/>
      <c r="C74" s="68"/>
      <c r="D74" s="159">
        <v>43.89</v>
      </c>
      <c r="E74" s="69"/>
      <c r="F74" s="69"/>
    </row>
    <row r="75" spans="1:6" s="70" customFormat="1">
      <c r="A75" s="254" t="s">
        <v>165</v>
      </c>
      <c r="B75" s="255"/>
      <c r="C75" s="255"/>
      <c r="D75" s="159">
        <v>52.5</v>
      </c>
      <c r="E75" s="69"/>
      <c r="F75" s="69"/>
    </row>
    <row r="76" spans="1:6" s="29" customFormat="1">
      <c r="A76" s="71" t="s">
        <v>45</v>
      </c>
      <c r="B76" s="72"/>
      <c r="C76" s="62"/>
      <c r="D76" s="121">
        <f>SUM(D67:D75)</f>
        <v>1882.4317333333336</v>
      </c>
      <c r="E76" s="28"/>
      <c r="F76" s="28"/>
    </row>
    <row r="77" spans="1:6" ht="16.5" customHeight="1">
      <c r="A77" s="31"/>
      <c r="B77" s="32"/>
      <c r="C77" s="33"/>
      <c r="D77" s="115"/>
    </row>
    <row r="78" spans="1:6" s="29" customFormat="1">
      <c r="A78" s="213" t="s">
        <v>122</v>
      </c>
      <c r="B78" s="213"/>
      <c r="C78" s="62"/>
      <c r="D78" s="121">
        <v>180.15</v>
      </c>
      <c r="E78" s="28"/>
      <c r="F78" s="28"/>
    </row>
    <row r="79" spans="1:6" s="29" customFormat="1">
      <c r="A79" s="264" t="s">
        <v>125</v>
      </c>
      <c r="B79" s="264"/>
      <c r="C79" s="73"/>
      <c r="D79" s="121">
        <f>D78</f>
        <v>180.15</v>
      </c>
      <c r="E79" s="28"/>
      <c r="F79" s="28"/>
    </row>
    <row r="80" spans="1:6" ht="15.75" customHeight="1">
      <c r="A80" s="31"/>
      <c r="B80" s="32"/>
      <c r="C80" s="33"/>
      <c r="D80" s="115"/>
    </row>
    <row r="81" spans="1:6" s="29" customFormat="1" ht="29.25" customHeight="1">
      <c r="A81" s="251" t="s">
        <v>126</v>
      </c>
      <c r="B81" s="251"/>
      <c r="C81" s="251"/>
      <c r="D81" s="30">
        <f>SUM(D64,D76,D79)</f>
        <v>5502.726733333333</v>
      </c>
      <c r="E81" s="28"/>
      <c r="F81" s="28"/>
    </row>
    <row r="82" spans="1:6" s="108" customFormat="1" ht="14.25" customHeight="1">
      <c r="A82" s="106"/>
      <c r="B82" s="106"/>
      <c r="C82" s="106"/>
      <c r="D82" s="123"/>
      <c r="E82" s="107"/>
      <c r="F82" s="107"/>
    </row>
    <row r="83" spans="1:6" s="29" customFormat="1" ht="16.5" customHeight="1">
      <c r="A83" s="18" t="s">
        <v>114</v>
      </c>
      <c r="B83" s="105"/>
      <c r="C83" s="105"/>
      <c r="D83" s="124"/>
      <c r="E83" s="28"/>
      <c r="F83" s="28"/>
    </row>
    <row r="84" spans="1:6" s="29" customFormat="1" ht="21.75" customHeight="1">
      <c r="A84" s="256" t="s">
        <v>67</v>
      </c>
      <c r="B84" s="256"/>
      <c r="C84" s="74"/>
      <c r="D84" s="125"/>
      <c r="E84" s="28"/>
      <c r="F84" s="28"/>
    </row>
    <row r="85" spans="1:6" s="29" customFormat="1">
      <c r="A85" s="257" t="s">
        <v>12</v>
      </c>
      <c r="B85" s="257"/>
      <c r="C85" s="76">
        <v>0.05</v>
      </c>
      <c r="D85" s="126">
        <f>C85*D81</f>
        <v>275.13633666666664</v>
      </c>
      <c r="E85" s="28"/>
      <c r="F85" s="28"/>
    </row>
    <row r="86" spans="1:6" s="29" customFormat="1">
      <c r="A86" s="77" t="s">
        <v>38</v>
      </c>
      <c r="B86" s="78"/>
      <c r="C86" s="79">
        <v>0.1</v>
      </c>
      <c r="D86" s="127">
        <f>C86*D81</f>
        <v>550.27267333333327</v>
      </c>
      <c r="E86" s="28"/>
      <c r="F86" s="28"/>
    </row>
    <row r="87" spans="1:6" s="29" customFormat="1" ht="17.25" customHeight="1">
      <c r="A87" s="258" t="s">
        <v>39</v>
      </c>
      <c r="B87" s="258"/>
      <c r="C87" s="143">
        <f>SUM(C85:C86)</f>
        <v>0.15000000000000002</v>
      </c>
      <c r="D87" s="128">
        <f>D86+D85</f>
        <v>825.40900999999985</v>
      </c>
      <c r="E87" s="28"/>
      <c r="F87" s="28"/>
    </row>
    <row r="88" spans="1:6" s="29" customFormat="1" ht="16.5" customHeight="1">
      <c r="A88" s="80"/>
      <c r="B88" s="81"/>
      <c r="C88" s="82"/>
      <c r="D88" s="129"/>
      <c r="E88" s="28"/>
      <c r="F88" s="28"/>
    </row>
    <row r="89" spans="1:6" s="29" customFormat="1" ht="18.75" customHeight="1">
      <c r="A89" s="256" t="s">
        <v>68</v>
      </c>
      <c r="B89" s="256"/>
      <c r="C89" s="74"/>
      <c r="D89" s="125"/>
      <c r="E89" s="28"/>
      <c r="F89" s="28"/>
    </row>
    <row r="90" spans="1:6" s="29" customFormat="1">
      <c r="A90" s="75" t="s">
        <v>53</v>
      </c>
      <c r="B90" s="83"/>
      <c r="C90" s="139">
        <v>0.05</v>
      </c>
      <c r="D90" s="130">
        <f>(D81+D87)/(1-C93)*C90</f>
        <v>346.36758310527273</v>
      </c>
      <c r="E90" s="28"/>
      <c r="F90" s="28"/>
    </row>
    <row r="91" spans="1:6" s="29" customFormat="1">
      <c r="A91" s="65" t="s">
        <v>0</v>
      </c>
      <c r="B91" s="84"/>
      <c r="C91" s="140">
        <v>0.03</v>
      </c>
      <c r="D91" s="131">
        <f>(D81+D87)/(1-C93)*C91</f>
        <v>207.82054986316362</v>
      </c>
      <c r="E91" s="28"/>
      <c r="F91" s="28"/>
    </row>
    <row r="92" spans="1:6" s="29" customFormat="1">
      <c r="A92" s="85" t="s">
        <v>1</v>
      </c>
      <c r="B92" s="86"/>
      <c r="C92" s="141">
        <v>6.4999999999999997E-3</v>
      </c>
      <c r="D92" s="132">
        <f>(D81+D87)/(1-C93)*C92</f>
        <v>45.027785803685447</v>
      </c>
      <c r="E92" s="28"/>
      <c r="F92" s="28"/>
    </row>
    <row r="93" spans="1:6" s="29" customFormat="1" ht="20.25" customHeight="1">
      <c r="A93" s="259" t="s">
        <v>52</v>
      </c>
      <c r="B93" s="259"/>
      <c r="C93" s="87">
        <f>SUM(C90:C92)</f>
        <v>8.6500000000000007E-2</v>
      </c>
      <c r="D93" s="128">
        <f>SUM(D90:D92)</f>
        <v>599.21591877212177</v>
      </c>
      <c r="E93" s="28"/>
      <c r="F93" s="28"/>
    </row>
    <row r="94" spans="1:6" s="29" customFormat="1" ht="18" customHeight="1">
      <c r="A94" s="80"/>
      <c r="B94" s="81"/>
      <c r="C94" s="82"/>
      <c r="D94" s="129"/>
      <c r="E94" s="28"/>
      <c r="F94" s="28"/>
    </row>
    <row r="95" spans="1:6" s="29" customFormat="1" ht="20.25" customHeight="1">
      <c r="A95" s="251" t="s">
        <v>112</v>
      </c>
      <c r="B95" s="251"/>
      <c r="C95" s="61"/>
      <c r="D95" s="30">
        <f>D81+D87+D93</f>
        <v>6927.3516621054541</v>
      </c>
      <c r="E95" s="28"/>
      <c r="F95" s="28"/>
    </row>
    <row r="96" spans="1:6">
      <c r="A96" s="252" t="s">
        <v>113</v>
      </c>
      <c r="B96" s="252"/>
      <c r="C96" s="252"/>
      <c r="D96" s="138">
        <v>2</v>
      </c>
    </row>
    <row r="97" spans="1:6" s="29" customFormat="1">
      <c r="A97" s="88" t="s">
        <v>101</v>
      </c>
      <c r="B97" s="88"/>
      <c r="C97" s="89"/>
      <c r="D97" s="133">
        <f>D95*D96</f>
        <v>13854.703324210908</v>
      </c>
      <c r="E97" s="28"/>
      <c r="F97" s="28"/>
    </row>
    <row r="98" spans="1:6" s="29" customFormat="1">
      <c r="A98" s="88" t="s">
        <v>102</v>
      </c>
      <c r="B98" s="88"/>
      <c r="C98" s="89"/>
      <c r="D98" s="133">
        <f>D97*12</f>
        <v>166256.43989053089</v>
      </c>
      <c r="E98" s="28"/>
      <c r="F98" s="28"/>
    </row>
    <row r="99" spans="1:6">
      <c r="C99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8">
    <mergeCell ref="A55:B55"/>
    <mergeCell ref="A7:D7"/>
    <mergeCell ref="A8:D8"/>
    <mergeCell ref="A20:B20"/>
    <mergeCell ref="A22:C22"/>
    <mergeCell ref="A31:B31"/>
    <mergeCell ref="A40:B40"/>
    <mergeCell ref="A46:B46"/>
    <mergeCell ref="A47:B47"/>
    <mergeCell ref="A48:B48"/>
    <mergeCell ref="A49:B49"/>
    <mergeCell ref="A52:B52"/>
    <mergeCell ref="A93:B93"/>
    <mergeCell ref="A95:B95"/>
    <mergeCell ref="A96:C96"/>
    <mergeCell ref="A5:D5"/>
    <mergeCell ref="A79:B79"/>
    <mergeCell ref="A81:C81"/>
    <mergeCell ref="A84:B84"/>
    <mergeCell ref="A85:B85"/>
    <mergeCell ref="A87:B87"/>
    <mergeCell ref="A89:B89"/>
    <mergeCell ref="A56:B56"/>
    <mergeCell ref="A57:B57"/>
    <mergeCell ref="A60:B60"/>
    <mergeCell ref="A64:C64"/>
    <mergeCell ref="A70:C70"/>
    <mergeCell ref="A75:C75"/>
  </mergeCells>
  <dataValidations count="1">
    <dataValidation type="list" allowBlank="1" showInputMessage="1" showErrorMessage="1" promptTitle="SERVIÇO" prompt="Escolha o Serviço a ser contratado" sqref="A8" xr:uid="{E143EEA0-C268-4539-8139-C3A986E5EE24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4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49155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4915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9</xdr:row>
                    <xdr:rowOff>66675</xdr:rowOff>
                  </from>
                  <to>
                    <xdr:col>3</xdr:col>
                    <xdr:colOff>1143000</xdr:colOff>
                    <xdr:row>10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8</xdr:row>
                    <xdr:rowOff>9525</xdr:rowOff>
                  </from>
                  <to>
                    <xdr:col>3</xdr:col>
                    <xdr:colOff>1123950</xdr:colOff>
                    <xdr:row>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512ACE5-A99B-4642-8D53-4731E5485C41}">
          <x14:formula1>
            <xm:f>'Dados - Não mexer'!$B$2:$B$4</xm:f>
          </x14:formula1>
          <xm:sqref>B9</xm:sqref>
        </x14:dataValidation>
        <x14:dataValidation type="list" allowBlank="1" showInputMessage="1" showErrorMessage="1" xr:uid="{6A1EBE39-D63F-4D3B-8B87-9672AD4E4197}">
          <x14:formula1>
            <xm:f>'Dados - Não mexer'!$C$2:$C$3</xm:f>
          </x14:formula1>
          <xm:sqref>B10</xm:sqref>
        </x14:dataValidation>
        <x14:dataValidation type="list" allowBlank="1" showInputMessage="1" showErrorMessage="1" xr:uid="{16FED90E-A99E-44E2-A953-56B93A320791}">
          <x14:formula1>
            <xm:f>'Dados - Não mexer'!$D$2:$D$5</xm:f>
          </x14:formula1>
          <xm:sqref>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5:L96"/>
  <sheetViews>
    <sheetView showGridLines="0" view="pageBreakPreview" topLeftCell="A12" zoomScaleNormal="115" zoomScaleSheetLayoutView="100" workbookViewId="0">
      <selection activeCell="H12" sqref="H12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43" t="s">
        <v>89</v>
      </c>
      <c r="B5" s="243"/>
      <c r="C5" s="243"/>
      <c r="D5" s="243"/>
    </row>
    <row r="6" spans="1:8">
      <c r="A6" s="265" t="s">
        <v>117</v>
      </c>
      <c r="B6" s="265"/>
      <c r="C6" s="265"/>
      <c r="D6" s="265"/>
      <c r="H6" s="13"/>
    </row>
    <row r="7" spans="1:8" s="13" customFormat="1">
      <c r="A7" s="8" t="s">
        <v>86</v>
      </c>
      <c r="B7" s="9" t="s">
        <v>55</v>
      </c>
      <c r="C7" s="10"/>
      <c r="D7" s="11"/>
      <c r="E7" s="12"/>
      <c r="F7" s="12"/>
    </row>
    <row r="8" spans="1:8" s="13" customFormat="1">
      <c r="A8" s="8" t="s">
        <v>87</v>
      </c>
      <c r="B8" s="9" t="s">
        <v>56</v>
      </c>
      <c r="C8" s="11"/>
      <c r="D8" s="11"/>
      <c r="E8" s="14" t="b">
        <v>1</v>
      </c>
      <c r="F8" s="12" t="b">
        <v>1</v>
      </c>
    </row>
    <row r="9" spans="1:8" s="13" customFormat="1" ht="20.25" customHeight="1">
      <c r="A9" s="15" t="str">
        <f>IF(E8=TRUE,"Salário Mínimo local (R$)","")</f>
        <v>Salário Mínimo local (R$)</v>
      </c>
      <c r="B9" s="16">
        <v>1100</v>
      </c>
      <c r="C9" s="17"/>
      <c r="D9" s="17"/>
      <c r="E9" s="14" t="b">
        <v>0</v>
      </c>
      <c r="F9" s="12" t="b">
        <v>1</v>
      </c>
    </row>
    <row r="10" spans="1:8">
      <c r="A10" s="18" t="s">
        <v>57</v>
      </c>
      <c r="B10" s="18"/>
      <c r="C10" s="18"/>
      <c r="D10" s="18"/>
    </row>
    <row r="11" spans="1:8">
      <c r="A11" s="19" t="s">
        <v>98</v>
      </c>
      <c r="B11" s="19"/>
      <c r="C11" s="20"/>
      <c r="D11" s="110">
        <v>1237.25</v>
      </c>
    </row>
    <row r="12" spans="1:8">
      <c r="A12" s="21" t="str">
        <f>IF(E9=TRUE,"Adicional de Insalubridade","")</f>
        <v/>
      </c>
      <c r="B12" s="22" t="str">
        <f>IF(E9=TRUE,"% insalubridade","")</f>
        <v/>
      </c>
      <c r="C12" s="23">
        <v>0</v>
      </c>
      <c r="D12" s="111"/>
    </row>
    <row r="13" spans="1:8">
      <c r="A13" s="19" t="str">
        <f>IF(F9=TRUE,"Adicional de Periculosidade","")</f>
        <v>Adicional de Periculosidade</v>
      </c>
      <c r="B13" s="8" t="str">
        <f>IF(F9=TRUE,"% periculosidade","")</f>
        <v>% periculosidade</v>
      </c>
      <c r="C13" s="24">
        <f>IF(F9=TRUE,30%,"")</f>
        <v>0.3</v>
      </c>
      <c r="D13" s="111">
        <f>IF(F9=TRUE,$C$13*$D$11,"0")</f>
        <v>371.17500000000001</v>
      </c>
    </row>
    <row r="14" spans="1:8">
      <c r="A14" s="19" t="str">
        <f>IF(B8="Noturno","Adicional Noturno","")</f>
        <v>Adicional Noturno</v>
      </c>
      <c r="B14" s="19"/>
      <c r="C14" s="20"/>
      <c r="D14" s="111">
        <v>153.30000000000001</v>
      </c>
    </row>
    <row r="15" spans="1:8">
      <c r="A15" s="25" t="str">
        <f>IF(B8="Noturno","Hora Noturna Reduzida","")</f>
        <v>Hora Noturna Reduzida</v>
      </c>
      <c r="B15" s="25"/>
      <c r="C15" s="25"/>
      <c r="D15" s="112">
        <v>180.15</v>
      </c>
    </row>
    <row r="16" spans="1:8">
      <c r="A16" s="25" t="s">
        <v>168</v>
      </c>
      <c r="B16" s="25"/>
      <c r="C16" s="25"/>
      <c r="D16" s="112">
        <v>30.66</v>
      </c>
    </row>
    <row r="17" spans="1:12" s="29" customFormat="1">
      <c r="A17" s="25" t="s">
        <v>169</v>
      </c>
      <c r="B17" s="26"/>
      <c r="C17" s="27"/>
      <c r="D17" s="111">
        <v>36.03</v>
      </c>
      <c r="E17" s="28"/>
      <c r="F17" s="28"/>
    </row>
    <row r="18" spans="1:12">
      <c r="A18" s="263" t="s">
        <v>42</v>
      </c>
      <c r="B18" s="263"/>
      <c r="C18" s="30"/>
      <c r="D18" s="114">
        <f>SUM(D11:D17)</f>
        <v>2008.5650000000001</v>
      </c>
    </row>
    <row r="19" spans="1:12" ht="8.25" customHeight="1">
      <c r="A19" s="31"/>
      <c r="B19" s="32"/>
      <c r="C19" s="33"/>
      <c r="D19" s="115"/>
    </row>
    <row r="20" spans="1:12">
      <c r="A20" s="246" t="s">
        <v>59</v>
      </c>
      <c r="B20" s="246"/>
      <c r="C20" s="246"/>
      <c r="D20" s="30"/>
    </row>
    <row r="21" spans="1:12">
      <c r="A21" s="34" t="s">
        <v>60</v>
      </c>
      <c r="B21" s="34"/>
      <c r="C21" s="35"/>
      <c r="D21" s="116"/>
    </row>
    <row r="22" spans="1:12">
      <c r="A22" s="36" t="s">
        <v>91</v>
      </c>
      <c r="B22" s="25"/>
      <c r="C22" s="37">
        <v>0.2</v>
      </c>
      <c r="D22" s="20">
        <f>TRUNC(($D$18)*C22,2)</f>
        <v>401.71</v>
      </c>
      <c r="E22" s="20"/>
    </row>
    <row r="23" spans="1:12">
      <c r="A23" s="36" t="s">
        <v>13</v>
      </c>
      <c r="B23" s="25"/>
      <c r="C23" s="37">
        <v>0.08</v>
      </c>
      <c r="D23" s="20">
        <f t="shared" ref="D23:D29" si="0">TRUNC(($D$18)*C23,2)</f>
        <v>160.68</v>
      </c>
      <c r="E23" s="20"/>
    </row>
    <row r="24" spans="1:12">
      <c r="A24" s="36" t="s">
        <v>14</v>
      </c>
      <c r="B24" s="25"/>
      <c r="C24" s="37">
        <v>1.4999999999999999E-2</v>
      </c>
      <c r="D24" s="20">
        <f t="shared" si="0"/>
        <v>30.12</v>
      </c>
      <c r="E24" s="20"/>
      <c r="L24" s="38"/>
    </row>
    <row r="25" spans="1:12">
      <c r="A25" s="36" t="s">
        <v>15</v>
      </c>
      <c r="B25" s="25"/>
      <c r="C25" s="37">
        <v>0.01</v>
      </c>
      <c r="D25" s="20">
        <f t="shared" si="0"/>
        <v>20.079999999999998</v>
      </c>
      <c r="E25" s="20"/>
    </row>
    <row r="26" spans="1:12">
      <c r="A26" s="36" t="s">
        <v>16</v>
      </c>
      <c r="B26" s="25"/>
      <c r="C26" s="37">
        <v>2E-3</v>
      </c>
      <c r="D26" s="20">
        <f t="shared" si="0"/>
        <v>4.01</v>
      </c>
      <c r="E26" s="20"/>
    </row>
    <row r="27" spans="1:12">
      <c r="A27" s="36" t="s">
        <v>17</v>
      </c>
      <c r="B27" s="25"/>
      <c r="C27" s="37">
        <v>6.0000000000000001E-3</v>
      </c>
      <c r="D27" s="20">
        <f t="shared" si="0"/>
        <v>12.05</v>
      </c>
      <c r="E27" s="20"/>
    </row>
    <row r="28" spans="1:12">
      <c r="A28" s="36" t="s">
        <v>18</v>
      </c>
      <c r="B28" s="25"/>
      <c r="C28" s="37">
        <v>2.5000000000000001E-2</v>
      </c>
      <c r="D28" s="20">
        <f t="shared" si="0"/>
        <v>50.21</v>
      </c>
      <c r="E28" s="20"/>
    </row>
    <row r="29" spans="1:12" ht="17.25" customHeight="1">
      <c r="A29" s="247" t="s">
        <v>19</v>
      </c>
      <c r="B29" s="247"/>
      <c r="C29" s="37">
        <v>0.03</v>
      </c>
      <c r="D29" s="20">
        <f t="shared" si="0"/>
        <v>60.25</v>
      </c>
      <c r="E29" s="20"/>
    </row>
    <row r="30" spans="1:12">
      <c r="A30" s="31" t="s">
        <v>61</v>
      </c>
      <c r="B30" s="39"/>
      <c r="C30" s="40">
        <f>SUM(C22:C29)</f>
        <v>0.3680000000000001</v>
      </c>
      <c r="D30" s="115">
        <f>SUM(D22:D29)</f>
        <v>739.11</v>
      </c>
      <c r="E30" s="153"/>
    </row>
    <row r="31" spans="1:12">
      <c r="A31" s="41" t="s">
        <v>88</v>
      </c>
      <c r="B31" s="41"/>
      <c r="C31" s="40"/>
      <c r="D31" s="115"/>
      <c r="E31" s="153"/>
    </row>
    <row r="32" spans="1:12">
      <c r="A32" s="42" t="s">
        <v>20</v>
      </c>
      <c r="B32" s="43"/>
      <c r="C32" s="44">
        <f>1/12</f>
        <v>8.3333333333333329E-2</v>
      </c>
      <c r="D32" s="20">
        <f>TRUNC(($D$18)*C32,2)</f>
        <v>167.38</v>
      </c>
      <c r="E32" s="20"/>
    </row>
    <row r="33" spans="1:6">
      <c r="A33" s="149" t="s">
        <v>62</v>
      </c>
      <c r="B33" s="45"/>
      <c r="C33" s="46">
        <f>(1/12)</f>
        <v>8.3333333333333329E-2</v>
      </c>
      <c r="D33" s="20">
        <f t="shared" ref="D33:D39" si="1">TRUNC(($D$18)*C33,2)</f>
        <v>167.38</v>
      </c>
      <c r="E33" s="20"/>
    </row>
    <row r="34" spans="1:6" s="13" customFormat="1">
      <c r="A34" s="149" t="s">
        <v>21</v>
      </c>
      <c r="B34" s="45"/>
      <c r="C34" s="45">
        <f>(((100% / 30) * 7) / 12)</f>
        <v>1.9444444444444445E-2</v>
      </c>
      <c r="D34" s="20">
        <f t="shared" si="1"/>
        <v>39.049999999999997</v>
      </c>
      <c r="E34" s="131"/>
      <c r="F34" s="12"/>
    </row>
    <row r="35" spans="1:6" s="13" customFormat="1">
      <c r="A35" s="149" t="s">
        <v>22</v>
      </c>
      <c r="B35" s="45"/>
      <c r="C35" s="45">
        <f>(1462463/54796761)/12</f>
        <v>2.2240715407734896E-3</v>
      </c>
      <c r="D35" s="20">
        <f t="shared" si="1"/>
        <v>4.46</v>
      </c>
      <c r="E35" s="131"/>
      <c r="F35" s="12"/>
    </row>
    <row r="36" spans="1:6" s="13" customFormat="1">
      <c r="A36" s="149" t="s">
        <v>23</v>
      </c>
      <c r="B36" s="45"/>
      <c r="C36" s="45">
        <f>(((100% /30) * 15) / 12) * 1.22%</f>
        <v>5.0833333333333329E-4</v>
      </c>
      <c r="D36" s="20">
        <f t="shared" si="1"/>
        <v>1.02</v>
      </c>
      <c r="E36" s="131"/>
      <c r="F36" s="12"/>
    </row>
    <row r="37" spans="1:6" s="13" customFormat="1">
      <c r="A37" s="149" t="s">
        <v>24</v>
      </c>
      <c r="B37" s="45"/>
      <c r="C37" s="45">
        <f>((100%/30)*1.4947)/12</f>
        <v>4.1519444444444442E-3</v>
      </c>
      <c r="D37" s="20">
        <f t="shared" si="1"/>
        <v>8.33</v>
      </c>
      <c r="E37" s="131"/>
      <c r="F37" s="12"/>
    </row>
    <row r="38" spans="1:6" s="13" customFormat="1">
      <c r="A38" s="248" t="s">
        <v>25</v>
      </c>
      <c r="B38" s="248"/>
      <c r="C38" s="45">
        <f>(8.333%*1.416%*4/12)</f>
        <v>3.933176E-4</v>
      </c>
      <c r="D38" s="20">
        <f t="shared" si="1"/>
        <v>0.79</v>
      </c>
      <c r="E38" s="131"/>
      <c r="F38" s="12"/>
    </row>
    <row r="39" spans="1:6" s="13" customFormat="1">
      <c r="A39" s="151" t="s">
        <v>26</v>
      </c>
      <c r="B39" s="147"/>
      <c r="C39" s="45">
        <f>(((100%/30)*5)/12)*1.416%</f>
        <v>1.9666666666666663E-4</v>
      </c>
      <c r="D39" s="20">
        <f t="shared" si="1"/>
        <v>0.39</v>
      </c>
      <c r="E39" s="131"/>
      <c r="F39" s="12"/>
    </row>
    <row r="40" spans="1:6" s="51" customFormat="1">
      <c r="A40" s="47" t="s">
        <v>8</v>
      </c>
      <c r="B40" s="48"/>
      <c r="C40" s="49">
        <f>SUM(C32:C39)</f>
        <v>0.19358544469632905</v>
      </c>
      <c r="D40" s="116">
        <f>SUM(D32:D39)</f>
        <v>388.79999999999995</v>
      </c>
      <c r="E40" s="154"/>
      <c r="F40" s="50"/>
    </row>
    <row r="41" spans="1:6">
      <c r="A41" s="41" t="s">
        <v>2</v>
      </c>
      <c r="B41" s="41"/>
      <c r="C41" s="40"/>
      <c r="D41" s="115"/>
      <c r="E41" s="153"/>
    </row>
    <row r="42" spans="1:6">
      <c r="A42" s="42" t="s">
        <v>27</v>
      </c>
      <c r="B42" s="52"/>
      <c r="C42" s="52">
        <f>1/12*5%</f>
        <v>4.1666666666666666E-3</v>
      </c>
      <c r="D42" s="20">
        <f>TRUNC(($D$18)*C42,2)</f>
        <v>8.36</v>
      </c>
      <c r="E42" s="20"/>
    </row>
    <row r="43" spans="1:6" s="13" customFormat="1">
      <c r="A43" s="149" t="s">
        <v>28</v>
      </c>
      <c r="B43" s="148"/>
      <c r="C43" s="148">
        <f>1/12*3.4275%</f>
        <v>2.8562499999999998E-3</v>
      </c>
      <c r="D43" s="20">
        <f t="shared" ref="D43:D47" si="2">TRUNC(($D$18)*C43,2)</f>
        <v>5.73</v>
      </c>
      <c r="E43" s="131"/>
      <c r="F43" s="12"/>
    </row>
    <row r="44" spans="1:6" ht="30" customHeight="1">
      <c r="A44" s="248" t="s">
        <v>33</v>
      </c>
      <c r="B44" s="248"/>
      <c r="C44" s="53">
        <f>40%*8%</f>
        <v>3.2000000000000001E-2</v>
      </c>
      <c r="D44" s="20">
        <f t="shared" si="2"/>
        <v>64.27</v>
      </c>
      <c r="E44" s="20"/>
    </row>
    <row r="45" spans="1:6" ht="30" customHeight="1">
      <c r="A45" s="248" t="s">
        <v>34</v>
      </c>
      <c r="B45" s="248"/>
      <c r="C45" s="53">
        <f>10%*8%</f>
        <v>8.0000000000000002E-3</v>
      </c>
      <c r="D45" s="20">
        <f t="shared" si="2"/>
        <v>16.059999999999999</v>
      </c>
      <c r="E45" s="20"/>
    </row>
    <row r="46" spans="1:6" ht="21.75" customHeight="1">
      <c r="A46" s="248" t="s">
        <v>63</v>
      </c>
      <c r="B46" s="248"/>
      <c r="C46" s="134">
        <f>1/3*1/12</f>
        <v>2.7777777777777776E-2</v>
      </c>
      <c r="D46" s="20">
        <f t="shared" si="2"/>
        <v>55.79</v>
      </c>
      <c r="E46" s="20"/>
    </row>
    <row r="47" spans="1:6" ht="30" customHeight="1">
      <c r="A47" s="249" t="s">
        <v>64</v>
      </c>
      <c r="B47" s="249"/>
      <c r="C47" s="134">
        <f>1/3*C38</f>
        <v>1.3110586666666667E-4</v>
      </c>
      <c r="D47" s="20">
        <f t="shared" si="2"/>
        <v>0.26</v>
      </c>
      <c r="E47" s="20"/>
      <c r="F47" s="146"/>
    </row>
    <row r="48" spans="1:6">
      <c r="A48" s="47" t="s">
        <v>3</v>
      </c>
      <c r="B48" s="54"/>
      <c r="C48" s="54">
        <f>SUM(C42:C47)</f>
        <v>7.4931800311111116E-2</v>
      </c>
      <c r="D48" s="116">
        <f>SUM(D42:D47)</f>
        <v>150.47</v>
      </c>
      <c r="E48" s="154"/>
    </row>
    <row r="49" spans="1:6">
      <c r="A49" s="34" t="s">
        <v>4</v>
      </c>
      <c r="B49" s="34"/>
      <c r="C49" s="48"/>
      <c r="D49" s="116"/>
      <c r="E49" s="154"/>
    </row>
    <row r="50" spans="1:6" ht="22.5" customHeight="1">
      <c r="A50" s="250" t="s">
        <v>29</v>
      </c>
      <c r="B50" s="250"/>
      <c r="C50" s="55">
        <f>C30*C40</f>
        <v>7.1239443648249107E-2</v>
      </c>
      <c r="D50" s="117">
        <f>TRUNC($D$18*C50,2)</f>
        <v>143.08000000000001</v>
      </c>
      <c r="E50" s="131"/>
    </row>
    <row r="51" spans="1:6">
      <c r="A51" s="47" t="s">
        <v>5</v>
      </c>
      <c r="B51" s="48"/>
      <c r="C51" s="48">
        <f>SUM(C50)</f>
        <v>7.1239443648249107E-2</v>
      </c>
      <c r="D51" s="116">
        <f>SUM(D50)</f>
        <v>143.08000000000001</v>
      </c>
      <c r="E51" s="154"/>
    </row>
    <row r="52" spans="1:6">
      <c r="A52" s="56" t="s">
        <v>6</v>
      </c>
      <c r="B52" s="56"/>
      <c r="C52" s="135"/>
      <c r="D52" s="20"/>
      <c r="E52" s="20"/>
    </row>
    <row r="53" spans="1:6" ht="24" customHeight="1">
      <c r="A53" s="242" t="s">
        <v>65</v>
      </c>
      <c r="B53" s="242"/>
      <c r="C53" s="57">
        <f>8%*C42</f>
        <v>3.3333333333333332E-4</v>
      </c>
      <c r="D53" s="118">
        <f>TRUNC($D$18*C53,2)</f>
        <v>0.66</v>
      </c>
      <c r="E53" s="20"/>
    </row>
    <row r="54" spans="1:6" ht="40.5" customHeight="1">
      <c r="A54" s="260" t="s">
        <v>66</v>
      </c>
      <c r="B54" s="260"/>
      <c r="C54" s="58">
        <f>8%*C36</f>
        <v>4.0666666666666661E-5</v>
      </c>
      <c r="D54" s="20">
        <f>TRUNC($D$18*C54,2)</f>
        <v>0.08</v>
      </c>
      <c r="E54" s="20"/>
    </row>
    <row r="55" spans="1:6" s="13" customFormat="1" ht="18" customHeight="1">
      <c r="A55" s="261" t="s">
        <v>104</v>
      </c>
      <c r="B55" s="261"/>
      <c r="C55" s="59">
        <f>C23*C46</f>
        <v>2.2222222222222222E-3</v>
      </c>
      <c r="D55" s="119">
        <f>TRUNC($D$18*C55,2)</f>
        <v>4.46</v>
      </c>
      <c r="E55" s="20"/>
      <c r="F55" s="12"/>
    </row>
    <row r="56" spans="1:6">
      <c r="A56" s="31" t="s">
        <v>9</v>
      </c>
      <c r="B56" s="32"/>
      <c r="C56" s="32">
        <f>SUM(C53:C55)</f>
        <v>2.596222222222222E-3</v>
      </c>
      <c r="D56" s="115">
        <f>SUM(D53:D55)</f>
        <v>5.2</v>
      </c>
      <c r="E56" s="153"/>
    </row>
    <row r="57" spans="1:6">
      <c r="A57" s="41" t="s">
        <v>7</v>
      </c>
      <c r="B57" s="41"/>
      <c r="C57" s="40"/>
      <c r="D57" s="115"/>
      <c r="E57" s="153"/>
    </row>
    <row r="58" spans="1:6" ht="42.75" customHeight="1">
      <c r="A58" s="262" t="s">
        <v>30</v>
      </c>
      <c r="B58" s="262"/>
      <c r="C58" s="37">
        <f>C30*(4/12)*2/100</f>
        <v>2.4533333333333338E-3</v>
      </c>
      <c r="D58" s="120">
        <f>TRUNC($D$18*C58,2)</f>
        <v>4.92</v>
      </c>
      <c r="E58" s="120"/>
    </row>
    <row r="59" spans="1:6">
      <c r="A59" s="31" t="s">
        <v>10</v>
      </c>
      <c r="B59" s="32"/>
      <c r="C59" s="136">
        <f>SUM(C58)</f>
        <v>2.4533333333333338E-3</v>
      </c>
      <c r="D59" s="115">
        <f>SUM(D58)</f>
        <v>4.92</v>
      </c>
      <c r="E59" s="153"/>
    </row>
    <row r="60" spans="1:6">
      <c r="A60" s="150" t="s">
        <v>44</v>
      </c>
      <c r="B60" s="60"/>
      <c r="C60" s="137">
        <f>C59+C56+C51+C48+C40+C30</f>
        <v>0.71280624421124494</v>
      </c>
      <c r="D60" s="30">
        <f>D59+D56+D51+D48+D40+D30</f>
        <v>1431.58</v>
      </c>
      <c r="E60" s="155"/>
    </row>
    <row r="61" spans="1:6" ht="8.25" customHeight="1">
      <c r="A61" s="31"/>
      <c r="B61" s="32"/>
      <c r="C61" s="33"/>
      <c r="D61" s="115"/>
      <c r="E61" s="156"/>
    </row>
    <row r="62" spans="1:6" s="103" customFormat="1" ht="16.5" customHeight="1">
      <c r="A62" s="263" t="s">
        <v>43</v>
      </c>
      <c r="B62" s="263"/>
      <c r="C62" s="263"/>
      <c r="D62" s="30">
        <f>D60+D18</f>
        <v>3440.145</v>
      </c>
      <c r="E62" s="157"/>
      <c r="F62" s="102"/>
    </row>
    <row r="63" spans="1:6" ht="8.25" customHeight="1">
      <c r="A63" s="31"/>
      <c r="B63" s="32"/>
      <c r="C63" s="33"/>
      <c r="D63" s="115"/>
      <c r="E63" s="156"/>
    </row>
    <row r="64" spans="1:6">
      <c r="A64" s="213" t="s">
        <v>166</v>
      </c>
      <c r="B64" s="150"/>
      <c r="C64" s="62"/>
      <c r="D64" s="121"/>
      <c r="E64" s="156"/>
    </row>
    <row r="65" spans="1:6">
      <c r="A65" s="63" t="s">
        <v>11</v>
      </c>
      <c r="B65" s="63"/>
      <c r="C65" s="64"/>
      <c r="D65" s="122">
        <v>85.46</v>
      </c>
      <c r="E65" s="156"/>
    </row>
    <row r="66" spans="1:6">
      <c r="A66" s="65" t="s">
        <v>32</v>
      </c>
      <c r="B66" s="65"/>
      <c r="C66" s="64"/>
      <c r="D66" s="122">
        <f>15*18.5</f>
        <v>277.5</v>
      </c>
    </row>
    <row r="67" spans="1:6">
      <c r="A67" s="63" t="s">
        <v>99</v>
      </c>
      <c r="B67" s="63"/>
      <c r="C67" s="64"/>
      <c r="D67" s="122">
        <f>15*2*4</f>
        <v>120</v>
      </c>
    </row>
    <row r="68" spans="1:6" ht="15" customHeight="1">
      <c r="A68" s="248" t="s">
        <v>171</v>
      </c>
      <c r="B68" s="248"/>
      <c r="C68" s="248"/>
      <c r="D68" s="122">
        <f>IF(D67&gt;6%*D11,-6%*D11,-D67)</f>
        <v>-74.234999999999999</v>
      </c>
    </row>
    <row r="69" spans="1:6">
      <c r="A69" s="63" t="s">
        <v>100</v>
      </c>
      <c r="B69" s="63"/>
      <c r="C69" s="64"/>
      <c r="D69" s="122">
        <f>'Equip. Vigilância'!Y15+'Equip. Vigilância'!Y20</f>
        <v>852.26673333333349</v>
      </c>
      <c r="E69" s="66"/>
    </row>
    <row r="70" spans="1:6" s="70" customFormat="1">
      <c r="A70" s="65" t="s">
        <v>162</v>
      </c>
      <c r="B70" s="65"/>
      <c r="C70" s="64"/>
      <c r="D70" s="159">
        <f>-(0.1*D66)</f>
        <v>-27.75</v>
      </c>
      <c r="E70" s="69"/>
      <c r="F70" s="69"/>
    </row>
    <row r="71" spans="1:6" s="70" customFormat="1">
      <c r="A71" s="65" t="s">
        <v>170</v>
      </c>
      <c r="B71" s="67"/>
      <c r="C71" s="68"/>
      <c r="D71" s="159">
        <v>43.89</v>
      </c>
      <c r="E71" s="69"/>
      <c r="F71" s="69"/>
    </row>
    <row r="72" spans="1:6" s="70" customFormat="1">
      <c r="A72" s="254" t="s">
        <v>165</v>
      </c>
      <c r="B72" s="255"/>
      <c r="C72" s="255"/>
      <c r="D72" s="159">
        <v>52.5</v>
      </c>
      <c r="E72" s="69"/>
      <c r="F72" s="69"/>
    </row>
    <row r="73" spans="1:6" s="29" customFormat="1">
      <c r="A73" s="71" t="s">
        <v>45</v>
      </c>
      <c r="B73" s="72"/>
      <c r="C73" s="62"/>
      <c r="D73" s="121">
        <f>SUM(D65:D72)</f>
        <v>1329.6317333333336</v>
      </c>
      <c r="E73" s="28"/>
      <c r="F73" s="28"/>
    </row>
    <row r="74" spans="1:6" ht="16.5" customHeight="1">
      <c r="A74" s="31"/>
      <c r="B74" s="32"/>
      <c r="C74" s="33"/>
      <c r="D74" s="115"/>
    </row>
    <row r="75" spans="1:6" s="29" customFormat="1">
      <c r="A75" s="150" t="s">
        <v>122</v>
      </c>
      <c r="B75" s="150"/>
      <c r="C75" s="62"/>
      <c r="D75" s="121">
        <v>180.15</v>
      </c>
      <c r="E75" s="28"/>
      <c r="F75" s="28"/>
    </row>
    <row r="76" spans="1:6" s="29" customFormat="1">
      <c r="A76" s="264" t="s">
        <v>125</v>
      </c>
      <c r="B76" s="264"/>
      <c r="C76" s="73"/>
      <c r="D76" s="121">
        <f>D75</f>
        <v>180.15</v>
      </c>
      <c r="E76" s="28"/>
      <c r="F76" s="28"/>
    </row>
    <row r="77" spans="1:6" ht="15.75" customHeight="1">
      <c r="A77" s="31"/>
      <c r="B77" s="32"/>
      <c r="C77" s="33"/>
      <c r="D77" s="115"/>
    </row>
    <row r="78" spans="1:6" s="29" customFormat="1" ht="29.25" customHeight="1">
      <c r="A78" s="251" t="s">
        <v>126</v>
      </c>
      <c r="B78" s="251"/>
      <c r="C78" s="251"/>
      <c r="D78" s="30">
        <f>SUM(D62,D73,D76)</f>
        <v>4949.9267333333337</v>
      </c>
      <c r="E78" s="28"/>
      <c r="F78" s="28"/>
    </row>
    <row r="79" spans="1:6" s="108" customFormat="1" ht="14.25" customHeight="1">
      <c r="A79" s="106"/>
      <c r="B79" s="106"/>
      <c r="C79" s="106"/>
      <c r="D79" s="123"/>
      <c r="E79" s="107"/>
      <c r="F79" s="107"/>
    </row>
    <row r="80" spans="1:6" s="29" customFormat="1" ht="16.5" customHeight="1">
      <c r="A80" s="18" t="s">
        <v>114</v>
      </c>
      <c r="B80" s="105"/>
      <c r="C80" s="105"/>
      <c r="D80" s="124"/>
      <c r="E80" s="28"/>
      <c r="F80" s="28"/>
    </row>
    <row r="81" spans="1:6" s="29" customFormat="1" ht="21.75" customHeight="1">
      <c r="A81" s="256" t="s">
        <v>67</v>
      </c>
      <c r="B81" s="256"/>
      <c r="C81" s="74"/>
      <c r="D81" s="125"/>
      <c r="E81" s="28"/>
      <c r="F81" s="28"/>
    </row>
    <row r="82" spans="1:6" s="29" customFormat="1">
      <c r="A82" s="257" t="s">
        <v>12</v>
      </c>
      <c r="B82" s="257"/>
      <c r="C82" s="76">
        <v>0.05</v>
      </c>
      <c r="D82" s="126">
        <f>C82*D78</f>
        <v>247.49633666666671</v>
      </c>
      <c r="E82" s="28"/>
      <c r="F82" s="28"/>
    </row>
    <row r="83" spans="1:6" s="29" customFormat="1">
      <c r="A83" s="77" t="s">
        <v>38</v>
      </c>
      <c r="B83" s="78"/>
      <c r="C83" s="79">
        <v>0.1</v>
      </c>
      <c r="D83" s="127">
        <f>C83*D78</f>
        <v>494.99267333333341</v>
      </c>
      <c r="E83" s="28"/>
      <c r="F83" s="28"/>
    </row>
    <row r="84" spans="1:6" s="29" customFormat="1" ht="17.25" customHeight="1">
      <c r="A84" s="258" t="s">
        <v>39</v>
      </c>
      <c r="B84" s="258"/>
      <c r="C84" s="143">
        <f>SUM(C82:C83)</f>
        <v>0.15000000000000002</v>
      </c>
      <c r="D84" s="128">
        <f>D83+D82</f>
        <v>742.48901000000012</v>
      </c>
      <c r="E84" s="28"/>
      <c r="F84" s="28"/>
    </row>
    <row r="85" spans="1:6" s="29" customFormat="1" ht="16.5" customHeight="1">
      <c r="A85" s="80"/>
      <c r="B85" s="81"/>
      <c r="C85" s="82"/>
      <c r="D85" s="129"/>
      <c r="E85" s="28"/>
      <c r="F85" s="28"/>
    </row>
    <row r="86" spans="1:6" s="29" customFormat="1" ht="18.75" customHeight="1">
      <c r="A86" s="256" t="s">
        <v>68</v>
      </c>
      <c r="B86" s="256"/>
      <c r="C86" s="74"/>
      <c r="D86" s="125"/>
      <c r="E86" s="28"/>
      <c r="F86" s="28"/>
    </row>
    <row r="87" spans="1:6" s="29" customFormat="1">
      <c r="A87" s="75" t="s">
        <v>53</v>
      </c>
      <c r="B87" s="83"/>
      <c r="C87" s="139">
        <v>0.05</v>
      </c>
      <c r="D87" s="130">
        <f>(D78+D84)/(1-C90)*C87</f>
        <v>311.5717429301223</v>
      </c>
      <c r="E87" s="28"/>
      <c r="F87" s="28"/>
    </row>
    <row r="88" spans="1:6" s="29" customFormat="1">
      <c r="A88" s="65" t="s">
        <v>0</v>
      </c>
      <c r="B88" s="84"/>
      <c r="C88" s="140">
        <v>0.03</v>
      </c>
      <c r="D88" s="131">
        <f>(D78+D84)/(1-C90)*C88</f>
        <v>186.94304575807334</v>
      </c>
      <c r="E88" s="28"/>
      <c r="F88" s="28"/>
    </row>
    <row r="89" spans="1:6" s="29" customFormat="1">
      <c r="A89" s="85" t="s">
        <v>1</v>
      </c>
      <c r="B89" s="86"/>
      <c r="C89" s="141">
        <v>6.4999999999999997E-3</v>
      </c>
      <c r="D89" s="132">
        <f>(D78+D84)/(1-C90)*C89</f>
        <v>40.504326580915894</v>
      </c>
      <c r="E89" s="28"/>
      <c r="F89" s="28"/>
    </row>
    <row r="90" spans="1:6" s="29" customFormat="1" ht="20.25" customHeight="1">
      <c r="A90" s="259" t="s">
        <v>52</v>
      </c>
      <c r="B90" s="259"/>
      <c r="C90" s="87">
        <f>SUM(C87:C89)</f>
        <v>8.6500000000000007E-2</v>
      </c>
      <c r="D90" s="128">
        <f>SUM(D87:D89)</f>
        <v>539.01911526911147</v>
      </c>
      <c r="E90" s="28"/>
      <c r="F90" s="28"/>
    </row>
    <row r="91" spans="1:6" s="29" customFormat="1" ht="18" customHeight="1">
      <c r="A91" s="80"/>
      <c r="B91" s="81"/>
      <c r="C91" s="82"/>
      <c r="D91" s="129"/>
      <c r="E91" s="28"/>
      <c r="F91" s="28"/>
    </row>
    <row r="92" spans="1:6" s="29" customFormat="1" ht="20.25" customHeight="1">
      <c r="A92" s="251" t="s">
        <v>112</v>
      </c>
      <c r="B92" s="251"/>
      <c r="C92" s="61"/>
      <c r="D92" s="30">
        <f>D78+D84+D90</f>
        <v>6231.4348586024453</v>
      </c>
      <c r="E92" s="28"/>
      <c r="F92" s="28"/>
    </row>
    <row r="93" spans="1:6">
      <c r="A93" s="252" t="s">
        <v>113</v>
      </c>
      <c r="B93" s="252"/>
      <c r="C93" s="252"/>
      <c r="D93" s="138">
        <v>2</v>
      </c>
    </row>
    <row r="94" spans="1:6" s="29" customFormat="1">
      <c r="A94" s="88" t="s">
        <v>101</v>
      </c>
      <c r="B94" s="88"/>
      <c r="C94" s="89"/>
      <c r="D94" s="133">
        <f>D92*D93</f>
        <v>12462.869717204891</v>
      </c>
      <c r="E94" s="28"/>
      <c r="F94" s="28"/>
    </row>
    <row r="95" spans="1:6" s="29" customFormat="1">
      <c r="A95" s="88" t="s">
        <v>102</v>
      </c>
      <c r="B95" s="88"/>
      <c r="C95" s="89"/>
      <c r="D95" s="133">
        <f>D94*12</f>
        <v>149554.43660645868</v>
      </c>
      <c r="E95" s="28"/>
      <c r="F95" s="28"/>
    </row>
    <row r="96" spans="1:6">
      <c r="C96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7">
    <mergeCell ref="A44:B44"/>
    <mergeCell ref="A45:B45"/>
    <mergeCell ref="A46:B46"/>
    <mergeCell ref="A47:B47"/>
    <mergeCell ref="A38:B38"/>
    <mergeCell ref="A5:D5"/>
    <mergeCell ref="A6:D6"/>
    <mergeCell ref="A18:B18"/>
    <mergeCell ref="A20:C20"/>
    <mergeCell ref="A29:B29"/>
    <mergeCell ref="A93:C93"/>
    <mergeCell ref="A76:B76"/>
    <mergeCell ref="A78:C78"/>
    <mergeCell ref="A81:B81"/>
    <mergeCell ref="A82:B82"/>
    <mergeCell ref="A84:B84"/>
    <mergeCell ref="A72:C72"/>
    <mergeCell ref="A50:B50"/>
    <mergeCell ref="A86:B86"/>
    <mergeCell ref="A90:B90"/>
    <mergeCell ref="A92:B92"/>
    <mergeCell ref="A68:C68"/>
    <mergeCell ref="A53:B53"/>
    <mergeCell ref="A54:B54"/>
    <mergeCell ref="A55:B55"/>
    <mergeCell ref="A58:B58"/>
    <mergeCell ref="A62:C62"/>
  </mergeCells>
  <dataValidations count="1">
    <dataValidation type="list" allowBlank="1" showInputMessage="1" showErrorMessage="1" promptTitle="SERVIÇO" prompt="Escolha o Serviço a ser contratado" sqref="A6" xr:uid="{00000000-0002-0000-0100-000000000000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9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28688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2868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7</xdr:row>
                    <xdr:rowOff>66675</xdr:rowOff>
                  </from>
                  <to>
                    <xdr:col>3</xdr:col>
                    <xdr:colOff>1143000</xdr:colOff>
                    <xdr:row>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6</xdr:row>
                    <xdr:rowOff>9525</xdr:rowOff>
                  </from>
                  <to>
                    <xdr:col>3</xdr:col>
                    <xdr:colOff>1123950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'Dados - Não mexer'!$D$2:$D$5</xm:f>
          </x14:formula1>
          <xm:sqref>C12</xm:sqref>
        </x14:dataValidation>
        <x14:dataValidation type="list" allowBlank="1" showInputMessage="1" showErrorMessage="1" xr:uid="{00000000-0002-0000-0100-000002000000}">
          <x14:formula1>
            <xm:f>'Dados - Não mexer'!$C$2:$C$3</xm:f>
          </x14:formula1>
          <xm:sqref>B8</xm:sqref>
        </x14:dataValidation>
        <x14:dataValidation type="list" allowBlank="1" showInputMessage="1" showErrorMessage="1" xr:uid="{00000000-0002-0000-0100-000003000000}">
          <x14:formula1>
            <xm:f>'Dados - Não mexer'!$B$2:$B$4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5">
    <tabColor theme="4" tint="0.59999389629810485"/>
  </sheetPr>
  <dimension ref="A1:G24"/>
  <sheetViews>
    <sheetView showGridLines="0" view="pageBreakPreview" topLeftCell="B1" zoomScaleNormal="85" zoomScaleSheetLayoutView="100" workbookViewId="0">
      <selection activeCell="H20" sqref="H20"/>
    </sheetView>
  </sheetViews>
  <sheetFormatPr defaultColWidth="9.140625" defaultRowHeight="15" outlineLevelCol="1"/>
  <cols>
    <col min="1" max="1" width="9.140625" style="4"/>
    <col min="2" max="2" width="34" style="4" customWidth="1"/>
    <col min="3" max="3" width="80.42578125" style="4" hidden="1" customWidth="1" outlineLevel="1"/>
    <col min="4" max="4" width="14.28515625" style="4" customWidth="1" collapsed="1"/>
    <col min="5" max="5" width="9.5703125" style="4" customWidth="1"/>
    <col min="6" max="6" width="17.85546875" style="4" customWidth="1"/>
    <col min="7" max="7" width="18.5703125" style="4" customWidth="1"/>
    <col min="8" max="8" width="21.42578125" style="4" customWidth="1"/>
    <col min="9" max="10" width="10" style="4" bestFit="1" customWidth="1"/>
    <col min="11" max="11" width="9.7109375" style="4" bestFit="1" customWidth="1"/>
    <col min="12" max="16384" width="9.140625" style="4"/>
  </cols>
  <sheetData>
    <row r="1" spans="1:7">
      <c r="A1" s="267" t="s">
        <v>47</v>
      </c>
      <c r="B1" s="267"/>
      <c r="C1" s="267"/>
      <c r="D1" s="267"/>
      <c r="E1" s="267"/>
      <c r="F1" s="267"/>
      <c r="G1" s="267"/>
    </row>
    <row r="2" spans="1:7" s="217" customFormat="1">
      <c r="A2" s="216"/>
      <c r="B2" s="216"/>
      <c r="C2" s="216"/>
      <c r="D2" s="216"/>
      <c r="E2" s="216"/>
      <c r="F2" s="216"/>
      <c r="G2" s="216"/>
    </row>
    <row r="3" spans="1:7" s="217" customFormat="1">
      <c r="A3" s="216"/>
      <c r="B3" s="216"/>
      <c r="C3" s="216"/>
      <c r="D3" s="216"/>
      <c r="E3" s="216"/>
      <c r="F3" s="216"/>
      <c r="G3" s="216"/>
    </row>
    <row r="4" spans="1:7" s="217" customFormat="1">
      <c r="A4" s="216"/>
      <c r="B4" s="216"/>
      <c r="C4" s="216"/>
      <c r="D4" s="216"/>
      <c r="E4" s="216"/>
      <c r="F4" s="216"/>
      <c r="G4" s="216"/>
    </row>
    <row r="5" spans="1:7">
      <c r="B5" s="268"/>
      <c r="C5" s="268"/>
      <c r="D5" s="268"/>
      <c r="E5" s="268"/>
      <c r="F5" s="268"/>
      <c r="G5" s="268"/>
    </row>
    <row r="6" spans="1:7">
      <c r="A6" s="170"/>
      <c r="B6" s="170"/>
      <c r="C6" s="171"/>
      <c r="D6" s="171"/>
      <c r="E6" s="171"/>
      <c r="F6" s="172"/>
      <c r="G6" s="172"/>
    </row>
    <row r="7" spans="1:7">
      <c r="A7" s="270"/>
      <c r="B7" s="270"/>
      <c r="C7" s="270"/>
      <c r="D7" s="270"/>
      <c r="E7" s="270"/>
      <c r="F7" s="270"/>
      <c r="G7" s="270"/>
    </row>
    <row r="8" spans="1:7" s="104" customFormat="1" ht="30">
      <c r="A8" s="161" t="s">
        <v>36</v>
      </c>
      <c r="B8" s="162" t="s">
        <v>37</v>
      </c>
      <c r="C8" s="162" t="s">
        <v>35</v>
      </c>
      <c r="D8" s="162" t="s">
        <v>48</v>
      </c>
      <c r="E8" s="163" t="s">
        <v>105</v>
      </c>
      <c r="F8" s="164" t="s">
        <v>106</v>
      </c>
      <c r="G8" s="164" t="s">
        <v>107</v>
      </c>
    </row>
    <row r="9" spans="1:7" ht="36.75" customHeight="1">
      <c r="A9" s="169" t="s">
        <v>138</v>
      </c>
      <c r="B9" s="165" t="s">
        <v>51</v>
      </c>
      <c r="C9" s="219" t="s">
        <v>174</v>
      </c>
      <c r="D9" s="166">
        <v>53.2</v>
      </c>
      <c r="E9" s="167">
        <v>4</v>
      </c>
      <c r="F9" s="166">
        <f t="shared" ref="F9:F17" si="0">D9*E9</f>
        <v>212.8</v>
      </c>
      <c r="G9" s="166">
        <f>F9/12</f>
        <v>17.733333333333334</v>
      </c>
    </row>
    <row r="10" spans="1:7" ht="35.25" customHeight="1">
      <c r="A10" s="169" t="s">
        <v>139</v>
      </c>
      <c r="B10" s="165" t="s">
        <v>71</v>
      </c>
      <c r="C10" s="220" t="s">
        <v>173</v>
      </c>
      <c r="D10" s="166">
        <v>70.45</v>
      </c>
      <c r="E10" s="167">
        <v>4</v>
      </c>
      <c r="F10" s="166">
        <f t="shared" si="0"/>
        <v>281.8</v>
      </c>
      <c r="G10" s="166">
        <f>F10/12</f>
        <v>23.483333333333334</v>
      </c>
    </row>
    <row r="11" spans="1:7" ht="33" customHeight="1">
      <c r="A11" s="169" t="s">
        <v>140</v>
      </c>
      <c r="B11" s="218" t="s">
        <v>176</v>
      </c>
      <c r="C11" s="221" t="s">
        <v>175</v>
      </c>
      <c r="D11" s="166">
        <v>149.9</v>
      </c>
      <c r="E11" s="167">
        <v>1</v>
      </c>
      <c r="F11" s="166">
        <f t="shared" si="0"/>
        <v>149.9</v>
      </c>
      <c r="G11" s="166">
        <f t="shared" ref="G11:G17" si="1">F11/12</f>
        <v>12.491666666666667</v>
      </c>
    </row>
    <row r="12" spans="1:7" ht="34.5" customHeight="1">
      <c r="A12" s="169" t="s">
        <v>141</v>
      </c>
      <c r="B12" s="173" t="s">
        <v>137</v>
      </c>
      <c r="C12" s="165" t="s">
        <v>92</v>
      </c>
      <c r="D12" s="166">
        <v>72.599999999999994</v>
      </c>
      <c r="E12" s="167">
        <v>1</v>
      </c>
      <c r="F12" s="166">
        <f t="shared" si="0"/>
        <v>72.599999999999994</v>
      </c>
      <c r="G12" s="166">
        <f t="shared" si="1"/>
        <v>6.05</v>
      </c>
    </row>
    <row r="13" spans="1:7">
      <c r="A13" s="169" t="s">
        <v>142</v>
      </c>
      <c r="B13" s="165" t="s">
        <v>73</v>
      </c>
      <c r="C13" s="218" t="s">
        <v>177</v>
      </c>
      <c r="D13" s="166">
        <v>4.68</v>
      </c>
      <c r="E13" s="167">
        <v>4</v>
      </c>
      <c r="F13" s="166">
        <f t="shared" si="0"/>
        <v>18.72</v>
      </c>
      <c r="G13" s="166">
        <f t="shared" si="1"/>
        <v>1.5599999999999998</v>
      </c>
    </row>
    <row r="14" spans="1:7" ht="60">
      <c r="A14" s="169" t="s">
        <v>143</v>
      </c>
      <c r="B14" s="177" t="s">
        <v>149</v>
      </c>
      <c r="C14" s="177" t="s">
        <v>150</v>
      </c>
      <c r="D14" s="166">
        <v>119</v>
      </c>
      <c r="E14" s="167">
        <v>2</v>
      </c>
      <c r="F14" s="166">
        <f t="shared" si="0"/>
        <v>238</v>
      </c>
      <c r="G14" s="166">
        <f t="shared" si="1"/>
        <v>19.833333333333332</v>
      </c>
    </row>
    <row r="15" spans="1:7">
      <c r="A15" s="169" t="s">
        <v>144</v>
      </c>
      <c r="B15" s="174" t="s">
        <v>74</v>
      </c>
      <c r="C15" s="165" t="s">
        <v>93</v>
      </c>
      <c r="D15" s="166">
        <v>23.43</v>
      </c>
      <c r="E15" s="167">
        <v>1</v>
      </c>
      <c r="F15" s="166">
        <f t="shared" si="0"/>
        <v>23.43</v>
      </c>
      <c r="G15" s="166">
        <f t="shared" si="1"/>
        <v>1.9524999999999999</v>
      </c>
    </row>
    <row r="16" spans="1:7">
      <c r="A16" s="169" t="s">
        <v>145</v>
      </c>
      <c r="B16" s="174" t="s">
        <v>72</v>
      </c>
      <c r="C16" s="168" t="s">
        <v>153</v>
      </c>
      <c r="D16" s="166">
        <v>6.26</v>
      </c>
      <c r="E16" s="167">
        <v>1</v>
      </c>
      <c r="F16" s="166">
        <f t="shared" si="0"/>
        <v>6.26</v>
      </c>
      <c r="G16" s="166">
        <f t="shared" si="1"/>
        <v>0.52166666666666661</v>
      </c>
    </row>
    <row r="17" spans="1:7">
      <c r="A17" s="169" t="s">
        <v>146</v>
      </c>
      <c r="B17" s="177" t="s">
        <v>151</v>
      </c>
      <c r="C17" s="168" t="s">
        <v>152</v>
      </c>
      <c r="D17" s="166">
        <v>11</v>
      </c>
      <c r="E17" s="167">
        <v>1</v>
      </c>
      <c r="F17" s="166">
        <f t="shared" si="0"/>
        <v>11</v>
      </c>
      <c r="G17" s="166">
        <f t="shared" si="1"/>
        <v>0.91666666666666663</v>
      </c>
    </row>
    <row r="18" spans="1:7">
      <c r="A18" s="269" t="s">
        <v>167</v>
      </c>
      <c r="B18" s="269"/>
      <c r="C18" s="175"/>
      <c r="D18" s="175"/>
      <c r="E18" s="175"/>
      <c r="F18" s="176">
        <f>SUM(F9:F17)</f>
        <v>1014.51</v>
      </c>
      <c r="G18" s="176">
        <f>SUM(G9:G17)</f>
        <v>84.542500000000004</v>
      </c>
    </row>
    <row r="20" spans="1:7">
      <c r="B20" s="178"/>
      <c r="C20" s="178"/>
      <c r="D20" s="178"/>
      <c r="E20" s="178"/>
      <c r="F20" s="178"/>
    </row>
    <row r="21" spans="1:7">
      <c r="B21" s="266"/>
      <c r="C21" s="266"/>
      <c r="D21" s="266"/>
      <c r="E21" s="266"/>
      <c r="F21" s="266"/>
    </row>
    <row r="22" spans="1:7">
      <c r="B22" s="178"/>
      <c r="C22" s="178"/>
      <c r="D22" s="178"/>
      <c r="E22" s="178"/>
      <c r="F22" s="178"/>
    </row>
    <row r="23" spans="1:7">
      <c r="B23" s="178"/>
      <c r="C23" s="178"/>
      <c r="D23" s="178"/>
      <c r="E23" s="178"/>
      <c r="F23" s="178"/>
    </row>
    <row r="24" spans="1:7">
      <c r="B24" s="178"/>
      <c r="C24" s="178"/>
      <c r="D24" s="178"/>
      <c r="E24" s="178"/>
      <c r="F24" s="178"/>
    </row>
  </sheetData>
  <sheetProtection selectLockedCells="1" selectUnlockedCells="1"/>
  <mergeCells count="5">
    <mergeCell ref="B21:F21"/>
    <mergeCell ref="A1:G1"/>
    <mergeCell ref="B5:G5"/>
    <mergeCell ref="A18:B18"/>
    <mergeCell ref="A7:G7"/>
  </mergeCells>
  <phoneticPr fontId="54" type="noConversion"/>
  <pageMargins left="0.25" right="0.25" top="0.75" bottom="0.75" header="0.3" footer="0.3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41985" r:id="rId4">
          <objectPr defaultSize="0" autoPict="0" r:id="rId5">
            <anchor moveWithCells="1" sizeWithCells="1">
              <from>
                <xdr:col>0</xdr:col>
                <xdr:colOff>9525</xdr:colOff>
                <xdr:row>1</xdr:row>
                <xdr:rowOff>0</xdr:rowOff>
              </from>
              <to>
                <xdr:col>1</xdr:col>
                <xdr:colOff>1762125</xdr:colOff>
                <xdr:row>3</xdr:row>
                <xdr:rowOff>171450</xdr:rowOff>
              </to>
            </anchor>
          </objectPr>
        </oleObject>
      </mc:Choice>
      <mc:Fallback>
        <oleObject progId="MSPhotoEd.3" shapeId="419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5">
    <tabColor theme="4" tint="0.59999389629810485"/>
  </sheetPr>
  <dimension ref="A1:AA36"/>
  <sheetViews>
    <sheetView showGridLines="0" view="pageBreakPreview" zoomScaleNormal="100" zoomScaleSheetLayoutView="100" workbookViewId="0">
      <selection activeCell="Y14" sqref="Y14"/>
    </sheetView>
  </sheetViews>
  <sheetFormatPr defaultColWidth="9.140625" defaultRowHeight="23.25" customHeight="1" outlineLevelCol="1"/>
  <cols>
    <col min="1" max="1" width="9.140625" style="98"/>
    <col min="2" max="2" width="44.5703125" style="98" customWidth="1"/>
    <col min="3" max="3" width="11.42578125" style="98" customWidth="1"/>
    <col min="4" max="4" width="12" style="98" customWidth="1"/>
    <col min="5" max="5" width="13.5703125" style="98" hidden="1" customWidth="1" outlineLevel="1"/>
    <col min="6" max="7" width="16.28515625" style="98" hidden="1" customWidth="1" outlineLevel="1"/>
    <col min="8" max="20" width="16.28515625" style="158" hidden="1" customWidth="1" outlineLevel="1"/>
    <col min="21" max="23" width="16.5703125" style="98" hidden="1" customWidth="1" outlineLevel="1"/>
    <col min="24" max="24" width="14.42578125" style="98" customWidth="1" collapsed="1"/>
    <col min="25" max="25" width="12.7109375" style="98" customWidth="1"/>
    <col min="26" max="33" width="9.140625" style="98"/>
    <col min="34" max="35" width="10.5703125" style="98" bestFit="1" customWidth="1"/>
    <col min="36" max="16384" width="9.140625" style="98"/>
  </cols>
  <sheetData>
    <row r="1" spans="1:25" s="160" customFormat="1" ht="23.25" customHeight="1"/>
    <row r="2" spans="1:25" s="160" customFormat="1" ht="23.25" customHeight="1"/>
    <row r="3" spans="1:25" s="160" customFormat="1" ht="23.25" customHeight="1"/>
    <row r="4" spans="1:25" s="5" customFormat="1" ht="20.25" customHeight="1">
      <c r="A4" s="274" t="s">
        <v>116</v>
      </c>
      <c r="B4" s="274"/>
      <c r="C4" s="274"/>
      <c r="D4" s="274"/>
      <c r="E4" s="274"/>
      <c r="F4" s="274"/>
      <c r="G4" s="274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4"/>
      <c r="V4" s="274"/>
      <c r="W4" s="274"/>
      <c r="X4" s="274"/>
      <c r="Y4" s="274"/>
    </row>
    <row r="5" spans="1:25" s="5" customFormat="1" ht="34.5" customHeight="1">
      <c r="A5" s="95" t="s">
        <v>36</v>
      </c>
      <c r="B5" s="96" t="s">
        <v>35</v>
      </c>
      <c r="C5" s="97" t="s">
        <v>50</v>
      </c>
      <c r="D5" s="97" t="s">
        <v>119</v>
      </c>
      <c r="E5" s="184" t="s">
        <v>130</v>
      </c>
      <c r="F5" s="183" t="s">
        <v>127</v>
      </c>
      <c r="G5" s="183" t="s">
        <v>155</v>
      </c>
      <c r="H5" s="184" t="s">
        <v>130</v>
      </c>
      <c r="I5" s="184" t="s">
        <v>131</v>
      </c>
      <c r="J5" s="183" t="s">
        <v>136</v>
      </c>
      <c r="K5" s="184" t="s">
        <v>132</v>
      </c>
      <c r="L5" s="184" t="s">
        <v>133</v>
      </c>
      <c r="M5" s="184" t="s">
        <v>134</v>
      </c>
      <c r="N5" s="184" t="s">
        <v>159</v>
      </c>
      <c r="O5" s="184" t="s">
        <v>160</v>
      </c>
      <c r="P5" s="184" t="s">
        <v>161</v>
      </c>
      <c r="Q5" s="184" t="s">
        <v>156</v>
      </c>
      <c r="R5" s="184" t="s">
        <v>157</v>
      </c>
      <c r="S5" s="184" t="s">
        <v>158</v>
      </c>
      <c r="T5" s="183" t="s">
        <v>154</v>
      </c>
      <c r="U5" s="183" t="s">
        <v>135</v>
      </c>
      <c r="V5" s="183" t="s">
        <v>136</v>
      </c>
      <c r="W5" s="97" t="s">
        <v>118</v>
      </c>
      <c r="X5" s="97" t="s">
        <v>94</v>
      </c>
      <c r="Y5" s="97" t="s">
        <v>115</v>
      </c>
    </row>
    <row r="6" spans="1:25" s="5" customFormat="1" ht="20.25" customHeight="1">
      <c r="A6" s="185">
        <v>1</v>
      </c>
      <c r="B6" s="186" t="s">
        <v>79</v>
      </c>
      <c r="C6" s="187" t="s">
        <v>49</v>
      </c>
      <c r="D6" s="222">
        <v>12</v>
      </c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>
        <v>5422</v>
      </c>
      <c r="U6" s="188">
        <v>6484.65</v>
      </c>
      <c r="V6" s="188">
        <v>5420</v>
      </c>
      <c r="W6" s="189">
        <f>D6/2</f>
        <v>6</v>
      </c>
      <c r="X6" s="190">
        <f t="shared" ref="X6:X11" si="0">AVERAGE(E6:V6)</f>
        <v>5775.55</v>
      </c>
      <c r="Y6" s="191">
        <f>X6*W6</f>
        <v>34653.300000000003</v>
      </c>
    </row>
    <row r="7" spans="1:25" s="5" customFormat="1" ht="20.25" customHeight="1">
      <c r="A7" s="185">
        <v>2</v>
      </c>
      <c r="B7" s="192" t="s">
        <v>147</v>
      </c>
      <c r="C7" s="187" t="s">
        <v>49</v>
      </c>
      <c r="D7" s="222">
        <v>23</v>
      </c>
      <c r="E7" s="188"/>
      <c r="F7" s="188"/>
      <c r="G7" s="188"/>
      <c r="H7" s="188">
        <v>56</v>
      </c>
      <c r="I7" s="188">
        <v>63</v>
      </c>
      <c r="J7" s="188">
        <v>73</v>
      </c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9">
        <f t="shared" ref="W7:W11" si="1">D7/2</f>
        <v>11.5</v>
      </c>
      <c r="X7" s="190">
        <f t="shared" si="0"/>
        <v>64</v>
      </c>
      <c r="Y7" s="191">
        <f t="shared" ref="Y7:Y11" si="2">X7*W7</f>
        <v>736</v>
      </c>
    </row>
    <row r="8" spans="1:25" s="5" customFormat="1" ht="15">
      <c r="A8" s="185">
        <v>3</v>
      </c>
      <c r="B8" s="186" t="s">
        <v>80</v>
      </c>
      <c r="C8" s="187" t="s">
        <v>49</v>
      </c>
      <c r="D8" s="222">
        <v>12</v>
      </c>
      <c r="E8" s="188">
        <v>28.99</v>
      </c>
      <c r="F8" s="188">
        <v>22.9</v>
      </c>
      <c r="G8" s="188">
        <v>35.880000000000003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9">
        <f t="shared" si="1"/>
        <v>6</v>
      </c>
      <c r="X8" s="190">
        <f t="shared" si="0"/>
        <v>29.256666666666671</v>
      </c>
      <c r="Y8" s="191">
        <f t="shared" si="2"/>
        <v>175.54000000000002</v>
      </c>
    </row>
    <row r="9" spans="1:25" s="5" customFormat="1" ht="15">
      <c r="A9" s="185">
        <v>4</v>
      </c>
      <c r="B9" s="186" t="s">
        <v>81</v>
      </c>
      <c r="C9" s="187" t="s">
        <v>49</v>
      </c>
      <c r="D9" s="222">
        <v>12</v>
      </c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>
        <v>7.8</v>
      </c>
      <c r="R9" s="188">
        <v>8.5</v>
      </c>
      <c r="S9" s="188">
        <v>9</v>
      </c>
      <c r="T9" s="188"/>
      <c r="U9" s="188"/>
      <c r="V9" s="188"/>
      <c r="W9" s="189">
        <f t="shared" si="1"/>
        <v>6</v>
      </c>
      <c r="X9" s="190">
        <f t="shared" si="0"/>
        <v>8.4333333333333336</v>
      </c>
      <c r="Y9" s="191">
        <f t="shared" si="2"/>
        <v>50.6</v>
      </c>
    </row>
    <row r="10" spans="1:25" s="5" customFormat="1" ht="15">
      <c r="A10" s="185">
        <v>5</v>
      </c>
      <c r="B10" s="192" t="s">
        <v>148</v>
      </c>
      <c r="C10" s="187" t="s">
        <v>49</v>
      </c>
      <c r="D10" s="222">
        <v>12</v>
      </c>
      <c r="E10" s="188"/>
      <c r="F10" s="188"/>
      <c r="G10" s="188"/>
      <c r="H10" s="188"/>
      <c r="I10" s="188"/>
      <c r="J10" s="188"/>
      <c r="K10" s="188"/>
      <c r="L10" s="188"/>
      <c r="M10" s="188"/>
      <c r="N10" s="188">
        <v>35</v>
      </c>
      <c r="O10" s="188">
        <v>45</v>
      </c>
      <c r="P10" s="188">
        <v>50</v>
      </c>
      <c r="Q10" s="188"/>
      <c r="R10" s="188"/>
      <c r="S10" s="188"/>
      <c r="T10" s="188"/>
      <c r="U10" s="188"/>
      <c r="V10" s="188"/>
      <c r="W10" s="189">
        <f t="shared" si="1"/>
        <v>6</v>
      </c>
      <c r="X10" s="190">
        <f t="shared" si="0"/>
        <v>43.333333333333336</v>
      </c>
      <c r="Y10" s="191">
        <f t="shared" si="2"/>
        <v>260</v>
      </c>
    </row>
    <row r="11" spans="1:25" s="5" customFormat="1" ht="15">
      <c r="A11" s="185">
        <v>6</v>
      </c>
      <c r="B11" s="193" t="s">
        <v>121</v>
      </c>
      <c r="C11" s="187" t="s">
        <v>49</v>
      </c>
      <c r="D11" s="222">
        <v>12</v>
      </c>
      <c r="E11" s="188"/>
      <c r="F11" s="188"/>
      <c r="G11" s="188"/>
      <c r="H11" s="188"/>
      <c r="I11" s="188"/>
      <c r="J11" s="188"/>
      <c r="K11" s="188">
        <v>987</v>
      </c>
      <c r="L11" s="188">
        <v>1090</v>
      </c>
      <c r="M11" s="188">
        <v>1157.0999999999999</v>
      </c>
      <c r="N11" s="188"/>
      <c r="O11" s="188"/>
      <c r="P11" s="188"/>
      <c r="Q11" s="188"/>
      <c r="R11" s="188"/>
      <c r="S11" s="188"/>
      <c r="T11" s="188"/>
      <c r="U11" s="188"/>
      <c r="V11" s="188"/>
      <c r="W11" s="189">
        <f t="shared" si="1"/>
        <v>6</v>
      </c>
      <c r="X11" s="190">
        <f t="shared" si="0"/>
        <v>1078.0333333333333</v>
      </c>
      <c r="Y11" s="191">
        <f t="shared" si="2"/>
        <v>6468.2</v>
      </c>
    </row>
    <row r="12" spans="1:25" s="5" customFormat="1" ht="15">
      <c r="A12" s="280" t="s">
        <v>78</v>
      </c>
      <c r="B12" s="280"/>
      <c r="C12" s="280"/>
      <c r="D12" s="280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0"/>
      <c r="Y12" s="195">
        <f>SUM(Y6:Y11)</f>
        <v>42343.64</v>
      </c>
    </row>
    <row r="13" spans="1:25" s="5" customFormat="1" ht="15">
      <c r="A13" s="280" t="s">
        <v>76</v>
      </c>
      <c r="B13" s="280"/>
      <c r="C13" s="280"/>
      <c r="D13" s="280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0"/>
      <c r="Y13" s="190">
        <f>Y12*0.005</f>
        <v>211.7182</v>
      </c>
    </row>
    <row r="14" spans="1:25" s="5" customFormat="1" ht="15">
      <c r="A14" s="280" t="s">
        <v>77</v>
      </c>
      <c r="B14" s="280"/>
      <c r="C14" s="280"/>
      <c r="D14" s="280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0"/>
      <c r="Y14" s="190">
        <f>Y12*0.8/(5*12)</f>
        <v>564.58186666666677</v>
      </c>
    </row>
    <row r="15" spans="1:25" s="5" customFormat="1" ht="15">
      <c r="A15" s="278" t="s">
        <v>75</v>
      </c>
      <c r="B15" s="278"/>
      <c r="C15" s="278"/>
      <c r="D15" s="278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1"/>
      <c r="Y15" s="197">
        <f>Y14+Y13</f>
        <v>776.30006666666679</v>
      </c>
    </row>
    <row r="16" spans="1:25" ht="15" customHeight="1">
      <c r="A16" s="279"/>
      <c r="B16" s="279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9"/>
    </row>
    <row r="17" spans="1:27" ht="14.25" customHeight="1">
      <c r="A17" s="276" t="s">
        <v>82</v>
      </c>
      <c r="B17" s="276"/>
      <c r="C17" s="276"/>
      <c r="D17" s="276"/>
      <c r="E17" s="276"/>
      <c r="F17" s="276"/>
      <c r="G17" s="276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6"/>
      <c r="V17" s="276"/>
      <c r="W17" s="276"/>
      <c r="X17" s="276"/>
      <c r="Y17" s="276"/>
    </row>
    <row r="18" spans="1:27" ht="54" customHeight="1">
      <c r="A18" s="200" t="s">
        <v>36</v>
      </c>
      <c r="B18" s="163" t="s">
        <v>35</v>
      </c>
      <c r="C18" s="163" t="s">
        <v>50</v>
      </c>
      <c r="D18" s="163" t="s">
        <v>120</v>
      </c>
      <c r="E18" s="201" t="s">
        <v>163</v>
      </c>
      <c r="F18" s="201" t="s">
        <v>128</v>
      </c>
      <c r="G18" s="201" t="s">
        <v>129</v>
      </c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163" t="s">
        <v>95</v>
      </c>
      <c r="X18" s="163" t="s">
        <v>97</v>
      </c>
      <c r="Y18" s="163" t="s">
        <v>96</v>
      </c>
    </row>
    <row r="19" spans="1:27" ht="15">
      <c r="A19" s="203">
        <v>1</v>
      </c>
      <c r="B19" s="204" t="s">
        <v>84</v>
      </c>
      <c r="C19" s="204" t="s">
        <v>83</v>
      </c>
      <c r="D19" s="205">
        <v>12</v>
      </c>
      <c r="E19" s="188">
        <v>74.900000000000006</v>
      </c>
      <c r="F19" s="188">
        <v>78</v>
      </c>
      <c r="G19" s="188">
        <v>75</v>
      </c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206">
        <f>D19/12</f>
        <v>1</v>
      </c>
      <c r="X19" s="207">
        <f>AVERAGE(E19:V19)</f>
        <v>75.966666666666669</v>
      </c>
      <c r="Y19" s="208">
        <f>W19*X19</f>
        <v>75.966666666666669</v>
      </c>
    </row>
    <row r="20" spans="1:27" ht="15">
      <c r="A20" s="273" t="s">
        <v>85</v>
      </c>
      <c r="B20" s="273"/>
      <c r="C20" s="273"/>
      <c r="D20" s="273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1"/>
      <c r="Y20" s="197">
        <f>Y19</f>
        <v>75.966666666666669</v>
      </c>
    </row>
    <row r="21" spans="1:27" s="160" customFormat="1" ht="15">
      <c r="A21" s="179"/>
      <c r="B21" s="179"/>
      <c r="C21" s="179"/>
      <c r="D21" s="179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1"/>
      <c r="Y21" s="182"/>
    </row>
    <row r="22" spans="1:27" ht="15"/>
    <row r="23" spans="1:27" ht="40.5" customHeight="1">
      <c r="A23" s="271" t="s">
        <v>179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152"/>
      <c r="AA23" s="152"/>
    </row>
    <row r="24" spans="1:27" ht="15"/>
    <row r="25" spans="1:27" ht="15"/>
    <row r="26" spans="1:27" ht="15"/>
    <row r="27" spans="1:27" ht="15"/>
    <row r="28" spans="1:27" ht="15"/>
    <row r="29" spans="1:27" ht="15"/>
    <row r="30" spans="1:27" ht="15"/>
    <row r="31" spans="1:27" ht="15"/>
    <row r="32" spans="1:27" ht="15"/>
    <row r="33" ht="15"/>
    <row r="34" ht="15"/>
    <row r="35" ht="15"/>
    <row r="36" ht="15"/>
  </sheetData>
  <mergeCells count="9">
    <mergeCell ref="A23:Y23"/>
    <mergeCell ref="A20:D20"/>
    <mergeCell ref="A4:Y4"/>
    <mergeCell ref="A17:Y17"/>
    <mergeCell ref="A15:D15"/>
    <mergeCell ref="A16:B16"/>
    <mergeCell ref="A12:D12"/>
    <mergeCell ref="A13:D13"/>
    <mergeCell ref="A14:D14"/>
  </mergeCells>
  <pageMargins left="0.511811024" right="0.511811024" top="0.78740157499999996" bottom="0.78740157499999996" header="0.31496062000000002" footer="0.31496062000000002"/>
  <pageSetup paperSize="9" scale="90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progId="MSPhotoEd.3" shapeId="43009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1</xdr:col>
                <xdr:colOff>1762125</xdr:colOff>
                <xdr:row>1</xdr:row>
                <xdr:rowOff>257175</xdr:rowOff>
              </to>
            </anchor>
          </objectPr>
        </oleObject>
      </mc:Choice>
      <mc:Fallback>
        <oleObject progId="MSPhotoEd.3" shapeId="430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">
    <tabColor theme="4" tint="-0.249977111117893"/>
  </sheetPr>
  <dimension ref="A5:O25"/>
  <sheetViews>
    <sheetView showGridLines="0" view="pageBreakPreview" zoomScaleNormal="100" zoomScaleSheetLayoutView="100" workbookViewId="0">
      <selection activeCell="E17" sqref="E17"/>
    </sheetView>
  </sheetViews>
  <sheetFormatPr defaultColWidth="9.140625" defaultRowHeight="15"/>
  <cols>
    <col min="1" max="1" width="19.42578125" style="91" customWidth="1"/>
    <col min="2" max="2" width="9.5703125" style="91" customWidth="1"/>
    <col min="3" max="3" width="11.85546875" style="91" customWidth="1"/>
    <col min="4" max="4" width="13.7109375" style="91" customWidth="1"/>
    <col min="5" max="5" width="13.28515625" style="91" customWidth="1"/>
    <col min="6" max="6" width="11.42578125" style="91" customWidth="1"/>
    <col min="7" max="7" width="19.140625" style="91" customWidth="1"/>
    <col min="8" max="8" width="17.85546875" style="91" customWidth="1"/>
    <col min="9" max="9" width="28.42578125" style="91" bestFit="1" customWidth="1"/>
    <col min="10" max="10" width="11" style="91" customWidth="1"/>
    <col min="11" max="11" width="15.85546875" style="91" customWidth="1"/>
    <col min="12" max="13" width="20.85546875" style="91" customWidth="1"/>
    <col min="14" max="16384" width="9.140625" style="91"/>
  </cols>
  <sheetData>
    <row r="5" spans="1:15">
      <c r="A5" s="282" t="s">
        <v>46</v>
      </c>
      <c r="B5" s="282"/>
      <c r="C5" s="282"/>
      <c r="D5" s="282"/>
      <c r="E5" s="282"/>
      <c r="F5" s="282"/>
      <c r="G5" s="282"/>
      <c r="H5" s="282"/>
    </row>
    <row r="6" spans="1:15">
      <c r="A6" s="281" t="s">
        <v>54</v>
      </c>
      <c r="B6" s="281"/>
      <c r="C6" s="281"/>
      <c r="D6" s="281"/>
      <c r="E6" s="281"/>
      <c r="F6" s="281"/>
      <c r="G6" s="281"/>
      <c r="H6" s="281"/>
    </row>
    <row r="7" spans="1:15" ht="45">
      <c r="A7" s="236" t="s">
        <v>40</v>
      </c>
      <c r="B7" s="236" t="s">
        <v>41</v>
      </c>
      <c r="C7" s="236" t="s">
        <v>86</v>
      </c>
      <c r="D7" s="236" t="s">
        <v>107</v>
      </c>
      <c r="E7" s="236" t="s">
        <v>108</v>
      </c>
      <c r="F7" s="236" t="s">
        <v>109</v>
      </c>
      <c r="G7" s="236" t="s">
        <v>110</v>
      </c>
      <c r="H7" s="236" t="s">
        <v>111</v>
      </c>
    </row>
    <row r="8" spans="1:15" ht="15" customHeight="1">
      <c r="A8" s="227" t="s">
        <v>117</v>
      </c>
      <c r="B8" s="228" t="s">
        <v>31</v>
      </c>
      <c r="C8" s="229" t="s">
        <v>55</v>
      </c>
      <c r="D8" s="223">
        <f>'Vigilante Diurno '!D90</f>
        <v>5293.7473928115314</v>
      </c>
      <c r="E8" s="224">
        <v>2</v>
      </c>
      <c r="F8" s="230">
        <v>4</v>
      </c>
      <c r="G8" s="225">
        <f t="shared" ref="G8:G11" si="0">D8*E8*F8</f>
        <v>42349.979142492251</v>
      </c>
      <c r="H8" s="226">
        <f>G8*12</f>
        <v>508199.74970990699</v>
      </c>
    </row>
    <row r="9" spans="1:15">
      <c r="A9" s="227" t="s">
        <v>117</v>
      </c>
      <c r="B9" s="228" t="s">
        <v>56</v>
      </c>
      <c r="C9" s="229" t="s">
        <v>55</v>
      </c>
      <c r="D9" s="223">
        <f>'Vigilante Noturno'!D92</f>
        <v>6231.4348586024453</v>
      </c>
      <c r="E9" s="224">
        <v>2</v>
      </c>
      <c r="F9" s="230">
        <v>5</v>
      </c>
      <c r="G9" s="225">
        <f t="shared" si="0"/>
        <v>62314.348586024455</v>
      </c>
      <c r="H9" s="226">
        <f t="shared" ref="H9:H11" si="1">G9*12</f>
        <v>747772.18303229345</v>
      </c>
    </row>
    <row r="10" spans="1:15" ht="30">
      <c r="A10" s="227" t="s">
        <v>181</v>
      </c>
      <c r="B10" s="228" t="s">
        <v>56</v>
      </c>
      <c r="C10" s="229" t="s">
        <v>55</v>
      </c>
      <c r="D10" s="223">
        <f>'Vigilante Noturno - Motoriz'!D95</f>
        <v>6927.3516621054541</v>
      </c>
      <c r="E10" s="224">
        <v>2</v>
      </c>
      <c r="F10" s="230">
        <v>2</v>
      </c>
      <c r="G10" s="225">
        <f t="shared" si="0"/>
        <v>27709.406648421816</v>
      </c>
      <c r="H10" s="226">
        <f t="shared" si="1"/>
        <v>332512.87978106178</v>
      </c>
    </row>
    <row r="11" spans="1:15">
      <c r="A11" s="227" t="s">
        <v>117</v>
      </c>
      <c r="B11" s="228" t="s">
        <v>31</v>
      </c>
      <c r="C11" s="229" t="s">
        <v>69</v>
      </c>
      <c r="D11" s="223">
        <f>'Vigilante - PORTARIA'!D92</f>
        <v>5193.0358438241201</v>
      </c>
      <c r="E11" s="224">
        <v>1</v>
      </c>
      <c r="F11" s="230">
        <v>1</v>
      </c>
      <c r="G11" s="225">
        <f t="shared" si="0"/>
        <v>5193.0358438241201</v>
      </c>
      <c r="H11" s="226">
        <f t="shared" si="1"/>
        <v>62316.430125889441</v>
      </c>
    </row>
    <row r="12" spans="1:15">
      <c r="A12" s="237" t="s">
        <v>103</v>
      </c>
      <c r="B12" s="237"/>
      <c r="C12" s="237"/>
      <c r="D12" s="237"/>
      <c r="E12" s="237"/>
      <c r="F12" s="238"/>
      <c r="G12" s="239">
        <f>SUM(G8:G11)</f>
        <v>137566.77022076264</v>
      </c>
      <c r="H12" s="239">
        <f>SUM(H8:H11)</f>
        <v>1650801.2426491515</v>
      </c>
    </row>
    <row r="13" spans="1:15">
      <c r="A13" s="92"/>
      <c r="B13" s="92"/>
      <c r="C13" s="92"/>
      <c r="D13" s="92"/>
      <c r="E13" s="92"/>
      <c r="F13" s="93"/>
      <c r="G13" s="93"/>
      <c r="O13" s="94"/>
    </row>
    <row r="16" spans="1:15">
      <c r="C16" s="233"/>
      <c r="F16" s="241"/>
    </row>
    <row r="17" spans="3:6">
      <c r="C17" s="234"/>
      <c r="F17" s="241"/>
    </row>
    <row r="18" spans="3:6">
      <c r="C18" s="234"/>
      <c r="F18" s="241"/>
    </row>
    <row r="19" spans="3:6">
      <c r="C19" s="235"/>
      <c r="D19" s="240"/>
      <c r="F19" s="241"/>
    </row>
    <row r="20" spans="3:6">
      <c r="C20" s="233"/>
      <c r="D20" s="240"/>
      <c r="F20" s="233"/>
    </row>
    <row r="21" spans="3:6">
      <c r="D21" s="240"/>
    </row>
    <row r="22" spans="3:6">
      <c r="D22" s="240"/>
    </row>
    <row r="23" spans="3:6">
      <c r="D23" s="240"/>
    </row>
    <row r="24" spans="3:6">
      <c r="D24" s="240"/>
    </row>
    <row r="25" spans="3:6">
      <c r="D25" s="232"/>
    </row>
  </sheetData>
  <sheetProtection selectLockedCells="1" selectUnlockedCells="1"/>
  <mergeCells count="2">
    <mergeCell ref="A6:H6"/>
    <mergeCell ref="A5:H5"/>
  </mergeCells>
  <pageMargins left="0.511811024" right="0.511811024" top="0.78740157499999996" bottom="0.78740157499999996" header="0.31496062000000002" footer="0.31496062000000002"/>
  <pageSetup scale="8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44033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2</xdr:col>
                <xdr:colOff>438150</xdr:colOff>
                <xdr:row>2</xdr:row>
                <xdr:rowOff>171450</xdr:rowOff>
              </to>
            </anchor>
          </objectPr>
        </oleObject>
      </mc:Choice>
      <mc:Fallback>
        <oleObject progId="MSPhotoEd.3" shapeId="44033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600-000000000000}">
          <x14:formula1>
            <xm:f>'Dados - Não mexer'!$C$2:$C$3</xm:f>
          </x14:formula1>
          <xm:sqref>B8:B11</xm:sqref>
        </x14:dataValidation>
        <x14:dataValidation type="list" showInputMessage="1" showErrorMessage="1" xr:uid="{00000000-0002-0000-0600-000001000000}">
          <x14:formula1>
            <xm:f>'Dados - Não mexer'!$B$2:$B$4</xm:f>
          </x14:formula1>
          <xm:sqref>C8:C11</xm:sqref>
        </x14:dataValidation>
        <x14:dataValidation type="list" allowBlank="1" showInputMessage="1" showErrorMessage="1" xr:uid="{00000000-0002-0000-0600-000002000000}">
          <x14:formula1>
            <xm:f>'Dados - Não mexer'!$A$2:$A$5</xm:f>
          </x14:formula1>
          <xm:sqref>A8:A11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4">
    <tabColor theme="1"/>
  </sheetPr>
  <dimension ref="A1:D5"/>
  <sheetViews>
    <sheetView workbookViewId="0">
      <selection activeCell="A7" sqref="A7"/>
    </sheetView>
  </sheetViews>
  <sheetFormatPr defaultColWidth="9.140625" defaultRowHeight="15"/>
  <cols>
    <col min="1" max="1" width="30.42578125" style="1" bestFit="1" customWidth="1"/>
    <col min="2" max="16384" width="9.140625" style="1"/>
  </cols>
  <sheetData>
    <row r="1" spans="1:4">
      <c r="A1" s="2" t="s">
        <v>40</v>
      </c>
      <c r="B1" s="2" t="s">
        <v>86</v>
      </c>
      <c r="C1" s="2" t="s">
        <v>87</v>
      </c>
      <c r="D1" s="2" t="s">
        <v>90</v>
      </c>
    </row>
    <row r="2" spans="1:4">
      <c r="A2" s="142" t="s">
        <v>117</v>
      </c>
      <c r="B2" s="1" t="s">
        <v>69</v>
      </c>
      <c r="C2" s="1" t="s">
        <v>31</v>
      </c>
      <c r="D2" s="3">
        <v>0</v>
      </c>
    </row>
    <row r="3" spans="1:4">
      <c r="A3" s="231" t="s">
        <v>181</v>
      </c>
      <c r="B3" s="1" t="s">
        <v>55</v>
      </c>
      <c r="C3" s="1" t="s">
        <v>56</v>
      </c>
      <c r="D3" s="3">
        <v>0.1</v>
      </c>
    </row>
    <row r="4" spans="1:4">
      <c r="A4" s="109"/>
      <c r="B4" s="1" t="s">
        <v>70</v>
      </c>
      <c r="D4" s="3">
        <v>0.2</v>
      </c>
    </row>
    <row r="5" spans="1:4">
      <c r="A5" s="109"/>
      <c r="D5" s="3">
        <v>0.4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promptTitle="Funcionário" prompt="Escolha" sqref="F2" xr:uid="{00000000-0002-0000-0700-000000000000}">
      <formula1>$B$2:$B$5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Vigilante - PORTARIA</vt:lpstr>
      <vt:lpstr>Vigilante Diurno </vt:lpstr>
      <vt:lpstr>Vigilante Noturno - Motoriz</vt:lpstr>
      <vt:lpstr>Vigilante Noturno</vt:lpstr>
      <vt:lpstr>Uniformes</vt:lpstr>
      <vt:lpstr>Equip. Vigilância</vt:lpstr>
      <vt:lpstr>Resumo de Custos</vt:lpstr>
      <vt:lpstr>Dados - Não mexer</vt:lpstr>
      <vt:lpstr>'Vigilante - PORTARIA'!Area_de_impressao</vt:lpstr>
      <vt:lpstr>'Vigilante Diurno '!Area_de_impressao</vt:lpstr>
      <vt:lpstr>'Vigilante Noturno'!Area_de_impressao</vt:lpstr>
      <vt:lpstr>'Vigilante Noturno - Motoriz'!Area_de_impressao</vt:lpstr>
      <vt:lpstr>Lista1</vt:lpstr>
      <vt:lpstr>Serviços</vt:lpstr>
    </vt:vector>
  </TitlesOfParts>
  <Company>TCU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Encargos Sociais e Trabalhistas</dc:title>
  <dc:creator>SESEG - Assessoria</dc:creator>
  <cp:lastModifiedBy>leonardo Gomes Pereira</cp:lastModifiedBy>
  <cp:lastPrinted>2021-11-03T17:15:38Z</cp:lastPrinted>
  <dcterms:created xsi:type="dcterms:W3CDTF">1999-03-22T20:47:50Z</dcterms:created>
  <dcterms:modified xsi:type="dcterms:W3CDTF">2021-12-15T14:51:42Z</dcterms:modified>
</cp:coreProperties>
</file>